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860" windowHeight="8775" tabRatio="936" activeTab="0"/>
  </bookViews>
  <sheets>
    <sheet name="最初" sheetId="1" r:id="rId1"/>
    <sheet name="売上修正" sheetId="2" r:id="rId2"/>
    <sheet name="仕入修正" sheetId="3" r:id="rId3"/>
    <sheet name="取引計算表" sheetId="4" r:id="rId4"/>
    <sheet name="売上仕入計算" sheetId="5" r:id="rId5"/>
    <sheet name="本則付表1" sheetId="6" r:id="rId6"/>
    <sheet name="本則付表2(2)" sheetId="7" r:id="rId7"/>
    <sheet name="申告書本則" sheetId="8" r:id="rId8"/>
    <sheet name="申告書簡易" sheetId="9" r:id="rId9"/>
    <sheet name="決算書不動産" sheetId="10" state="hidden" r:id="rId10"/>
    <sheet name="不動産売上仕入修正" sheetId="11" state="hidden" r:id="rId11"/>
    <sheet name="簡易付表5(2)" sheetId="12" r:id="rId12"/>
    <sheet name="簡易付表4" sheetId="13" r:id="rId13"/>
    <sheet name="その他" sheetId="14" r:id="rId14"/>
    <sheet name="作業表紙" sheetId="15" r:id="rId15"/>
  </sheets>
  <externalReferences>
    <externalReference r:id="rId18"/>
    <externalReference r:id="rId19"/>
  </externalReferences>
  <definedNames>
    <definedName name="\A" localSheetId="9">#REF!</definedName>
    <definedName name="\A" localSheetId="10">#REF!</definedName>
    <definedName name="\A">#REF!</definedName>
    <definedName name="\B" localSheetId="9">#REF!</definedName>
    <definedName name="\B" localSheetId="10">#REF!</definedName>
    <definedName name="\B">#REF!</definedName>
    <definedName name="\C" localSheetId="9">#REF!</definedName>
    <definedName name="\C" localSheetId="10">#REF!</definedName>
    <definedName name="\C">#REF!</definedName>
    <definedName name="\D" localSheetId="9">#REF!</definedName>
    <definedName name="\D" localSheetId="10">#REF!</definedName>
    <definedName name="\D">#REF!</definedName>
    <definedName name="\E" localSheetId="9">#REF!</definedName>
    <definedName name="\E" localSheetId="10">#REF!</definedName>
    <definedName name="\E">#REF!</definedName>
    <definedName name="\F" localSheetId="9">#REF!</definedName>
    <definedName name="\F" localSheetId="10">#REF!</definedName>
    <definedName name="\F">#REF!</definedName>
    <definedName name="_xlnm.Print_Area" localSheetId="12">'簡易付表4'!$B$3:$L$40</definedName>
    <definedName name="_xlnm.Print_Area" localSheetId="11">'簡易付表5(2)'!$D$56:$O$94</definedName>
    <definedName name="_xlnm.Print_Area" localSheetId="2">'仕入修正'!$R$5:$W$24</definedName>
    <definedName name="_xlnm.Print_Area" localSheetId="3">'取引計算表'!$B$2:$J$46</definedName>
    <definedName name="_xlnm.Print_Area" localSheetId="8">'申告書簡易'!$B$5:$M$34</definedName>
    <definedName name="_xlnm.Print_Area" localSheetId="7">'申告書本則'!$B$5:$N$34</definedName>
    <definedName name="_xlnm.Print_Area" localSheetId="4">'売上仕入計算'!$I$4:$N$21</definedName>
    <definedName name="_xlnm.Print_Area" localSheetId="1">'売上修正'!$I$2:$T$42</definedName>
    <definedName name="_xlnm.Print_Area" localSheetId="10">'不動産売上仕入修正'!$B$3:$I$28</definedName>
    <definedName name="_xlnm.Print_Area" localSheetId="5">'本則付表1'!$B$3:$L$39</definedName>
    <definedName name="_xlnm.Print_Area" localSheetId="6">'本則付表2(2)'!$C$4:$L$40</definedName>
    <definedName name="qqqq">#REF!</definedName>
  </definedNames>
  <calcPr fullCalcOnLoad="1"/>
</workbook>
</file>

<file path=xl/comments11.xml><?xml version="1.0" encoding="utf-8"?>
<comments xmlns="http://schemas.openxmlformats.org/spreadsheetml/2006/main">
  <authors>
    <author>m044339</author>
  </authors>
  <commentList>
    <comment ref="C6" authorId="0">
      <text>
        <r>
          <rPr>
            <sz val="14"/>
            <rFont val="ＭＳ Ｐゴシック"/>
            <family val="3"/>
          </rPr>
          <t>駐車場収入は消費税の課税売上になります。
（ただし、舗装、区画、フェンス等の設置をしていなければ土地の貸付に該当し、消費税は非課税です）
土地の貸付収入で1ヶ月未満の短期間のものは、課税売上になります。
居住目的以外の家賃収入は、課税売上になります。
事例：貸店舗収入、貸事務所収入、貸倉庫収入、貸看板等の広告収入</t>
        </r>
      </text>
    </comment>
    <comment ref="J6" authorId="0">
      <text>
        <r>
          <rPr>
            <sz val="14"/>
            <rFont val="ＭＳ Ｐ明朝"/>
            <family val="1"/>
          </rPr>
          <t>賃借料の中に、農地等業務用土地等資産の貸付収入があれば、その金額を記入して下さい。
農地の貸付収入は、非課税です。</t>
        </r>
      </text>
    </comment>
    <comment ref="K6" authorId="0">
      <text>
        <r>
          <rPr>
            <sz val="14"/>
            <rFont val="ＭＳ Ｐゴシック"/>
            <family val="3"/>
          </rPr>
          <t>賃借料の中に、土地の貸付収入があれば、その金額を記入して下さい。
土地の貸付収入は（1ヶ月未満の短期間のものを除いて）非課税です。
駐車場収入は消費税の課税売上になります。
しかし、舗装、区画、フェンス等の設置をしていなければ土地の貸付に該当し消費税は非課税ですので、その額を記入して下さい。</t>
        </r>
      </text>
    </comment>
    <comment ref="L6" authorId="0">
      <text>
        <r>
          <rPr>
            <sz val="14"/>
            <rFont val="ＭＳ Ｐゴシック"/>
            <family val="3"/>
          </rPr>
          <t>賃借料の中に、居住目的の家賃収入があれば、その金額を記入して下さい。
居住目的の家賃収入は、非課税売上になります。
(契約期間１ヵ月以上が条件）</t>
        </r>
      </text>
    </comment>
    <comment ref="C7" authorId="0">
      <text>
        <r>
          <rPr>
            <sz val="14"/>
            <rFont val="ＭＳ Ｐゴシック"/>
            <family val="3"/>
          </rPr>
          <t>駐車場収入は消費税の課税売上になりますので、礼金・権利金・更新料も課税売上になります。
（ただし、舗装、区画、フェンス等の設置をしていなければ土地の貸付に該当し、消費税は非課税です）
居住目的以外の家賃収入は、課税売上になりますので、礼金・権利金・更新料も課税売上になります。
事例：貸店舗収入、貸事務所収入、貸倉庫収入、貸看板等の広告収入</t>
        </r>
      </text>
    </comment>
    <comment ref="J7" authorId="0">
      <text>
        <r>
          <rPr>
            <sz val="14"/>
            <rFont val="ＭＳ Ｐ明朝"/>
            <family val="1"/>
          </rPr>
          <t>賃借料収入が非課税の場合は、その礼金・権利金・更新料も非課税取引であるので、その額を記入して下さい。</t>
        </r>
      </text>
    </comment>
    <comment ref="K7" authorId="0">
      <text>
        <r>
          <rPr>
            <sz val="14"/>
            <rFont val="ＭＳ Ｐ明朝"/>
            <family val="1"/>
          </rPr>
          <t>賃借料収入が非課税の場合は、その礼金・権利金・更新料も非課税取引であるので、その額を記入して下さい。</t>
        </r>
      </text>
    </comment>
    <comment ref="L7" authorId="0">
      <text>
        <r>
          <rPr>
            <sz val="14"/>
            <rFont val="ＭＳ Ｐ明朝"/>
            <family val="1"/>
          </rPr>
          <t>賃借料収入が非課税の場合は、その礼金・権利金・更新料も非課税取引であるので、その額を記入して下さい。</t>
        </r>
      </text>
    </comment>
    <comment ref="J8" authorId="0">
      <text>
        <r>
          <rPr>
            <sz val="14"/>
            <rFont val="ＭＳ Ｐ明朝"/>
            <family val="1"/>
          </rPr>
          <t>この行の決算金額のうち、非課税取引ののものがあれば、その金額を記入して下さい。</t>
        </r>
      </text>
    </comment>
    <comment ref="K8" authorId="0">
      <text>
        <r>
          <rPr>
            <sz val="14"/>
            <rFont val="ＭＳ Ｐ明朝"/>
            <family val="1"/>
          </rPr>
          <t>この行の決算金額のうち、非課税取引ののものがあれば、その金額を記入して下さい。</t>
        </r>
      </text>
    </comment>
    <comment ref="L8" authorId="0">
      <text>
        <r>
          <rPr>
            <sz val="14"/>
            <rFont val="ＭＳ Ｐ明朝"/>
            <family val="1"/>
          </rPr>
          <t>この行の決算金額のうち、非課税取引ののものがあれば、その金額を記入して下さい。</t>
        </r>
      </text>
    </comment>
    <comment ref="M15" authorId="0">
      <text>
        <r>
          <rPr>
            <sz val="14"/>
            <rFont val="ＭＳ Ｐゴシック"/>
            <family val="3"/>
          </rPr>
          <t>租税公課で固定資産税、印紙税、消費税、自動車税、自動車取得税、自動車、重量税、組合費、会費、賦課金等は不課税取引であり、課税仕入れに当たりません。</t>
        </r>
      </text>
    </comment>
    <comment ref="J16" authorId="0">
      <text>
        <r>
          <rPr>
            <sz val="14"/>
            <rFont val="ＭＳ Ｐ明朝"/>
            <family val="1"/>
          </rPr>
          <t>損害保険料、自賠責保険料、任意保険料があれば、その金額を記入して下さい。
これらの費用は非課税取引であり、課税仕入れに当たりません。</t>
        </r>
      </text>
    </comment>
    <comment ref="M18" authorId="0">
      <text>
        <r>
          <rPr>
            <sz val="14"/>
            <rFont val="ＭＳ Ｐ明朝"/>
            <family val="1"/>
          </rPr>
          <t>減価償却費は不課税取引であり、課税仕入に当たりません。</t>
        </r>
        <r>
          <rPr>
            <sz val="9"/>
            <rFont val="ＭＳ Ｐゴシック"/>
            <family val="3"/>
          </rPr>
          <t xml:space="preserve">
</t>
        </r>
      </text>
    </comment>
    <comment ref="J19" authorId="0">
      <text>
        <r>
          <rPr>
            <sz val="14"/>
            <rFont val="ＭＳ Ｐ明朝"/>
            <family val="1"/>
          </rPr>
          <t xml:space="preserve">利子割引料は非課税取引であり、課税仕入れに当たりません
</t>
        </r>
      </text>
    </comment>
    <comment ref="J20" authorId="0">
      <text>
        <r>
          <rPr>
            <sz val="14"/>
            <rFont val="ＭＳ Ｐゴシック"/>
            <family val="3"/>
          </rPr>
          <t xml:space="preserve">借地料があれば、記入して下さい。
借地料は非課税取引であり、課税仕入れに当たりません。
しかし、事業のための借家料（居住目的の建物は、事業用に使っても駄目）及び借店舗料、駐車場料金は、課税仕入になります。
</t>
        </r>
      </text>
    </comment>
    <comment ref="M21" authorId="0">
      <text>
        <r>
          <rPr>
            <sz val="14"/>
            <rFont val="ＭＳ Ｐ明朝"/>
            <family val="1"/>
          </rPr>
          <t>純粋の給与賃金の総額を記入してください。
（給与賃金等は、基本的に不課税取引であり、課税仕入れに当たりません）
従業員の通勤手当、定期券代（通常の通勤費）、及び弁当等の賄費等は、課税仕入れになります。</t>
        </r>
      </text>
    </comment>
    <comment ref="J22"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3"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4"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5"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6"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7"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17"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List>
</comments>
</file>

<file path=xl/comments2.xml><?xml version="1.0" encoding="utf-8"?>
<comments xmlns="http://schemas.openxmlformats.org/spreadsheetml/2006/main">
  <authors>
    <author>m044339</author>
  </authors>
  <commentList>
    <comment ref="T8" authorId="0">
      <text>
        <r>
          <rPr>
            <sz val="14"/>
            <rFont val="ＭＳ Ｐゴシック"/>
            <family val="3"/>
          </rPr>
          <t xml:space="preserve">雑収入の中に、手数料の値引きと考えられる出荷奨励金があれば、その金額を記入してください。
手数料の値引きと考えられる出荷奨励金とは、その支払基準が、出荷量又は出荷金額に基づいて定められているものです。
</t>
        </r>
      </text>
    </comment>
    <comment ref="S8" authorId="0">
      <text>
        <r>
          <rPr>
            <sz val="14"/>
            <rFont val="ＭＳ Ｐゴシック"/>
            <family val="3"/>
          </rPr>
          <t xml:space="preserve">雑収入の中に、購買事業にかかる利用高配当額があれば、その金額を記入してください。
</t>
        </r>
      </text>
    </comment>
    <comment ref="S6" authorId="0">
      <text>
        <r>
          <rPr>
            <sz val="14"/>
            <rFont val="ＭＳ Ｐゴシック"/>
            <family val="3"/>
          </rPr>
          <t xml:space="preserve">販売金額の中に、購買事業にかかる利用高配当額があれば、その金額を記入してください。
</t>
        </r>
      </text>
    </comment>
  </commentList>
</comments>
</file>

<file path=xl/comments3.xml><?xml version="1.0" encoding="utf-8"?>
<comments xmlns="http://schemas.openxmlformats.org/spreadsheetml/2006/main">
  <authors>
    <author>m044339</author>
  </authors>
  <commentList>
    <comment ref="L32" authorId="0">
      <text>
        <r>
          <rPr>
            <sz val="14"/>
            <rFont val="ＭＳ Ｐゴシック"/>
            <family val="3"/>
          </rPr>
          <t>販売金額又は雑収入に計上されている出荷奨励金で、その支払基準が、出荷量又は出荷金額に基づいて定められているものについては、手数料の値引きと考えられ、経費の減算で処理できます。</t>
        </r>
      </text>
    </comment>
    <comment ref="L31" authorId="0">
      <text>
        <r>
          <rPr>
            <sz val="14"/>
            <rFont val="ＭＳ Ｐゴシック"/>
            <family val="3"/>
          </rPr>
          <t>販売金額又は雑収入に計上されている利用高配当で、購買事業に係る配当金（一般で言うところの利用高配当）は、経費の減算で処理できます。</t>
        </r>
      </text>
    </comment>
  </commentList>
</comments>
</file>

<file path=xl/sharedStrings.xml><?xml version="1.0" encoding="utf-8"?>
<sst xmlns="http://schemas.openxmlformats.org/spreadsheetml/2006/main" count="809" uniqueCount="559">
  <si>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</si>
  <si>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④</t>
    </r>
    <r>
      <rPr>
        <sz val="12"/>
        <rFont val="Arial"/>
        <family val="2"/>
      </rPr>
      <t>× [</t>
    </r>
    <r>
      <rPr>
        <sz val="12"/>
        <rFont val="ＭＳ Ｐゴシック"/>
        <family val="3"/>
      </rPr>
      <t>⑮</t>
    </r>
    <r>
      <rPr>
        <sz val="12"/>
        <rFont val="Arial"/>
        <family val="2"/>
      </rPr>
      <t>×70</t>
    </r>
    <r>
      <rPr>
        <sz val="12"/>
        <rFont val="ＭＳ Ｐゴシック"/>
        <family val="3"/>
      </rPr>
      <t>％＋（⑫－⑮）</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</si>
  <si>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④</t>
    </r>
    <r>
      <rPr>
        <sz val="12"/>
        <rFont val="Arial"/>
        <family val="2"/>
      </rPr>
      <t>× [</t>
    </r>
    <r>
      <rPr>
        <sz val="12"/>
        <rFont val="ＭＳ Ｐゴシック"/>
        <family val="3"/>
      </rPr>
      <t>⑮</t>
    </r>
    <r>
      <rPr>
        <sz val="12"/>
        <rFont val="Arial"/>
        <family val="2"/>
      </rPr>
      <t>×70</t>
    </r>
    <r>
      <rPr>
        <sz val="12"/>
        <rFont val="ＭＳ Ｐゴシック"/>
        <family val="3"/>
      </rPr>
      <t>％＋（⑫－⑮）</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</si>
  <si>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④</t>
    </r>
    <r>
      <rPr>
        <sz val="12"/>
        <rFont val="Arial"/>
        <family val="2"/>
      </rPr>
      <t>× [</t>
    </r>
    <r>
      <rPr>
        <sz val="12"/>
        <rFont val="ＭＳ Ｐゴシック"/>
        <family val="3"/>
      </rPr>
      <t>⑯</t>
    </r>
    <r>
      <rPr>
        <sz val="12"/>
        <rFont val="Arial"/>
        <family val="2"/>
      </rPr>
      <t>×60</t>
    </r>
    <r>
      <rPr>
        <sz val="12"/>
        <rFont val="ＭＳ Ｐゴシック"/>
        <family val="3"/>
      </rPr>
      <t>％＋（⑫－⑯）</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</si>
  <si>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t>科            目</t>
  </si>
  <si>
    <r>
      <t>科</t>
    </r>
    <r>
      <rPr>
        <sz val="12"/>
        <rFont val="Arial"/>
        <family val="2"/>
      </rPr>
      <t xml:space="preserve">                  </t>
    </r>
    <r>
      <rPr>
        <sz val="12"/>
        <rFont val="ＭＳ Ｐゴシック"/>
        <family val="3"/>
      </rPr>
      <t>目</t>
    </r>
  </si>
  <si>
    <t>収入金額</t>
  </si>
  <si>
    <t>賃貸料</t>
  </si>
  <si>
    <t>必要経費</t>
  </si>
  <si>
    <t>礼金・権利金
更新料</t>
  </si>
  <si>
    <t>計</t>
  </si>
  <si>
    <t>必要経費</t>
  </si>
  <si>
    <t>租税公課</t>
  </si>
  <si>
    <t>その他の経費</t>
  </si>
  <si>
    <t>損害保険料</t>
  </si>
  <si>
    <t>計</t>
  </si>
  <si>
    <t>修繕費</t>
  </si>
  <si>
    <t>差引金額</t>
  </si>
  <si>
    <t>専従者給与</t>
  </si>
  <si>
    <t>借入金利子</t>
  </si>
  <si>
    <t>青色申告特別控
除前の所得金額</t>
  </si>
  <si>
    <t>地代家賃</t>
  </si>
  <si>
    <t>青色申告
特別控除額</t>
  </si>
  <si>
    <t>給料賃金</t>
  </si>
  <si>
    <t>所得金額</t>
  </si>
  <si>
    <t>土地等を取得するために
要した負債の利子の額</t>
  </si>
  <si>
    <t>消費税関係課税売上計算書(不動産所得用）</t>
  </si>
  <si>
    <t>課税売上にならないもの</t>
  </si>
  <si>
    <t>消費税関係課税仕入計算書(不動産所得用）</t>
  </si>
  <si>
    <t>課税仕入にならないもの</t>
  </si>
  <si>
    <t>非課税</t>
  </si>
  <si>
    <t>不課税</t>
  </si>
  <si>
    <t>お待ちください！</t>
  </si>
  <si>
    <t>行数変更は、2分から10分程度かかります！</t>
  </si>
  <si>
    <t>年度更新は、10分程度かかります！</t>
  </si>
  <si>
    <t>複式簿記作成は、1時間程度かかります！</t>
  </si>
  <si>
    <t>開始時間</t>
  </si>
  <si>
    <t>終了時間</t>
  </si>
  <si>
    <t>利用高配当の減算処理</t>
  </si>
  <si>
    <t>出荷奨励金の減算処理</t>
  </si>
  <si>
    <t>建設仮勘定支出等</t>
  </si>
  <si>
    <t>固定資産購入支出等</t>
  </si>
  <si>
    <t>期首生産物価額</t>
  </si>
  <si>
    <t>期首仕掛品</t>
  </si>
  <si>
    <t>期首材料価額</t>
  </si>
  <si>
    <t>期末生産物価額</t>
  </si>
  <si>
    <t>期末仕掛品</t>
  </si>
  <si>
    <t>期末肥育牛棚卸高
（販売用子牛資産含む）</t>
  </si>
  <si>
    <t>期末材料価額</t>
  </si>
  <si>
    <t>事業区分</t>
  </si>
  <si>
    <t>減価償却費</t>
  </si>
  <si>
    <t>非課税取引</t>
  </si>
  <si>
    <t>不課税取引</t>
  </si>
  <si>
    <t>合計</t>
  </si>
  <si>
    <t>基準期間
（2年前）の
課税売上高</t>
  </si>
  <si>
    <t>←</t>
  </si>
  <si>
    <r>
      <t>当年（課税年）の２年前の課税売上高</t>
    </r>
    <r>
      <rPr>
        <sz val="12"/>
        <rFont val="ＭＳ Ｐゴシック"/>
        <family val="3"/>
      </rPr>
      <t xml:space="preserve">（非課税不課税売上高を控除した残額）。
2年前の免税農家は、税込み価額で、課税対象農家は、税抜き価額で記入します。
</t>
    </r>
  </si>
  <si>
    <t>課税方式</t>
  </si>
  <si>
    <r>
      <t>基本情報</t>
    </r>
    <r>
      <rPr>
        <b/>
        <sz val="16"/>
        <rFont val="ＭＳ Ｐゴシック"/>
        <family val="3"/>
      </rPr>
      <t>ページで課税方式を選択してください。</t>
    </r>
  </si>
  <si>
    <t>当年度は、どんな課税年度ですか？</t>
  </si>
  <si>
    <t>←</t>
  </si>
  <si>
    <t>下記のメニューからお選びください。</t>
  </si>
  <si>
    <t>メニュー</t>
  </si>
  <si>
    <t>通常の課税年度</t>
  </si>
  <si>
    <t>免税年度→課税される最初の課税年度</t>
  </si>
  <si>
    <t>課税年度→翌年度免税年度になる最後の課税年度</t>
  </si>
  <si>
    <t>免税年度
↓
課税される最初の
課税年度</t>
  </si>
  <si>
    <t>期首棚卸</t>
  </si>
  <si>
    <t>免税農家から課税業者になった年度において、期首棚卸資産価額は、当該課税年度の課税仕入額に加算することができるが、その表現方法としては、本則付表２の「納税義務の免除を受けない（受ける）こととなった場合における消費税額の調整（加算又は減算）額」の欄の中の仕入れ税額調整で行います。</t>
  </si>
  <si>
    <t>課税年度
↓
翌年度免税年度になる
最後の課税年度</t>
  </si>
  <si>
    <t>期末棚卸</t>
  </si>
  <si>
    <t>課税年度から免税年度になる直前の課税年度にあいて、期末棚卸資産価額は当該課税年度の課税仕入れから控除しなければならないが、その表現方法としては、本則付表２の「納税義務の免除を受けない（受ける）こととなった場合における消費税額の調整（加算又は減算）額」の欄の中の仕入れ税額調整で行います。</t>
  </si>
  <si>
    <t>貸倒損失額</t>
  </si>
  <si>
    <t>貸倒損失額があれば記入して下さい。
簿記上の貸倒損失（貸倒引当金との相殺結果としての貸倒損失額）でなくて、実際に発生した貸倒損失額を記入してください。ただし、その損失額は課税売上にかかる債権の損失額に限ります。
貸付金等非課税取引によって生じた債権の貸倒損失は、もともと消費税がかかっていないので、記入しないで下さい。</t>
  </si>
  <si>
    <t>①　販売金額又は雑収入の中に、利用高配当又は出荷奨励金が含まれている場合は、［売上修正］のページで記入して下さい。
②　その他、必要な場合は、[本則付表2]のページ、[申告書本則］のページ、［申告書簡易］のページで、青色の枠内に必要な数値を記入してください。</t>
  </si>
  <si>
    <t>消費税関係課税売上計算書</t>
  </si>
  <si>
    <t>科目名</t>
  </si>
  <si>
    <t>金額</t>
  </si>
  <si>
    <t>課税仕入になるもの</t>
  </si>
  <si>
    <t>A
差引金額</t>
  </si>
  <si>
    <t>B　：Aのうち課税取引にならないもの</t>
  </si>
  <si>
    <t>C(A-B)
課税売上額</t>
  </si>
  <si>
    <t>課税仕入になるもの</t>
  </si>
  <si>
    <t>非課税取引</t>
  </si>
  <si>
    <t>不課税取引</t>
  </si>
  <si>
    <t>３種事業</t>
  </si>
  <si>
    <t>肥育牛の販売収入</t>
  </si>
  <si>
    <r>
      <t>育成牛</t>
    </r>
    <r>
      <rPr>
        <sz val="14"/>
        <rFont val="Arial"/>
        <family val="2"/>
      </rPr>
      <t>(</t>
    </r>
    <r>
      <rPr>
        <sz val="14"/>
        <rFont val="ＭＳ Ｐゴシック"/>
        <family val="3"/>
      </rPr>
      <t>乳牛</t>
    </r>
    <r>
      <rPr>
        <sz val="14"/>
        <rFont val="Arial"/>
        <family val="2"/>
      </rPr>
      <t xml:space="preserve">)
</t>
    </r>
    <r>
      <rPr>
        <sz val="14"/>
        <rFont val="ＭＳ Ｐゴシック"/>
        <family val="3"/>
      </rPr>
      <t>売却・譲渡収入</t>
    </r>
  </si>
  <si>
    <r>
      <t>育成牛</t>
    </r>
    <r>
      <rPr>
        <sz val="14"/>
        <rFont val="Arial"/>
        <family val="2"/>
      </rPr>
      <t>(</t>
    </r>
    <r>
      <rPr>
        <sz val="14"/>
        <rFont val="ＭＳ Ｐゴシック"/>
        <family val="3"/>
      </rPr>
      <t>繁殖牛</t>
    </r>
    <r>
      <rPr>
        <sz val="14"/>
        <rFont val="Arial"/>
        <family val="2"/>
      </rPr>
      <t xml:space="preserve">)
</t>
    </r>
    <r>
      <rPr>
        <sz val="14"/>
        <rFont val="ＭＳ Ｐゴシック"/>
        <family val="3"/>
      </rPr>
      <t>売却・譲渡収入</t>
    </r>
  </si>
  <si>
    <t>４種事業</t>
  </si>
  <si>
    <t>受取利息（事業で使う通帳の）</t>
  </si>
  <si>
    <r>
      <t>償却家畜</t>
    </r>
    <r>
      <rPr>
        <sz val="14"/>
        <rFont val="Arial"/>
        <family val="2"/>
      </rPr>
      <t>(</t>
    </r>
    <r>
      <rPr>
        <sz val="14"/>
        <rFont val="ＭＳ Ｐゴシック"/>
        <family val="3"/>
      </rPr>
      <t>乳牛</t>
    </r>
    <r>
      <rPr>
        <sz val="14"/>
        <rFont val="Arial"/>
        <family val="2"/>
      </rPr>
      <t xml:space="preserve">)
</t>
    </r>
    <r>
      <rPr>
        <sz val="14"/>
        <rFont val="ＭＳ Ｐゴシック"/>
        <family val="3"/>
      </rPr>
      <t>売却・譲渡収入</t>
    </r>
  </si>
  <si>
    <r>
      <t>償却家畜</t>
    </r>
    <r>
      <rPr>
        <sz val="14"/>
        <rFont val="Arial"/>
        <family val="2"/>
      </rPr>
      <t>(</t>
    </r>
    <r>
      <rPr>
        <sz val="14"/>
        <rFont val="ＭＳ Ｐゴシック"/>
        <family val="3"/>
      </rPr>
      <t>繁殖牛</t>
    </r>
    <r>
      <rPr>
        <sz val="14"/>
        <rFont val="Arial"/>
        <family val="2"/>
      </rPr>
      <t xml:space="preserve">)
</t>
    </r>
    <r>
      <rPr>
        <sz val="14"/>
        <rFont val="ＭＳ Ｐゴシック"/>
        <family val="3"/>
      </rPr>
      <t>売却・譲渡収入</t>
    </r>
  </si>
  <si>
    <t>固定資産譲渡収入</t>
  </si>
  <si>
    <t>譲渡所得関係  合計</t>
  </si>
  <si>
    <t>５種事業</t>
  </si>
  <si>
    <t>非課税売上（総額）</t>
  </si>
  <si>
    <t>消費税関係課税仕入計算書
(農業所得用＋業務用固定資産購入支出）</t>
  </si>
  <si>
    <t>A　決算額</t>
  </si>
  <si>
    <r>
      <t>B</t>
    </r>
    <r>
      <rPr>
        <sz val="12"/>
        <rFont val="ＭＳ Ｐゴシック"/>
        <family val="3"/>
      </rPr>
      <t>　：　</t>
    </r>
    <r>
      <rPr>
        <sz val="12"/>
        <rFont val="Arial"/>
        <family val="2"/>
      </rPr>
      <t>A</t>
    </r>
    <r>
      <rPr>
        <sz val="12"/>
        <rFont val="ＭＳ Ｐゴシック"/>
        <family val="3"/>
      </rPr>
      <t>のうち課税取引にならないもの</t>
    </r>
  </si>
  <si>
    <t>C(A-B)
課税仕入額</t>
  </si>
  <si>
    <t>納税義務の免除を受けない（受ける）こととなった場合における消費税額の調整（加算又は減算）額</t>
  </si>
  <si>
    <t>期首棚卸</t>
  </si>
  <si>
    <t>免税農家から課税業者になった年度において、期首棚卸資産価額は、当該課税年度の課税仕入額に加算することができるが、その表現方法としては、本則付表２の「納税義務の免除を受けない（受ける）こととなった場合における消費税額の調整（加算又は減算）額」の欄の中の仕入れ税額調整で行います。</t>
  </si>
  <si>
    <t>農産物の
棚卸高</t>
  </si>
  <si>
    <t>農産物以外の
棚卸高</t>
  </si>
  <si>
    <t>合計</t>
  </si>
  <si>
    <t>課税年度から免税年度になる直前の課税年度にあいて、期末棚卸資産価額は当該課税年度の課税仕入れから控除しなければならないが、その表現方法としては、本則付表２の「納税義務の免除を受けない（受ける）こととなった場合における消費税額の調整（加算又は減算）額」の欄の中の仕入れ税額調整で行います。</t>
  </si>
  <si>
    <t>農産物の
棚卸高</t>
  </si>
  <si>
    <t>農産物以外の
棚卸高</t>
  </si>
  <si>
    <t>購買利用高配当</t>
  </si>
  <si>
    <t>出荷奨励金、販売奨励金</t>
  </si>
  <si>
    <t>成牛（乳牛・繁殖牛）購入支出</t>
  </si>
  <si>
    <t>課税取引金額計算表（農業所得用《３種事業》）</t>
  </si>
  <si>
    <t>科目</t>
  </si>
  <si>
    <r>
      <t>A</t>
    </r>
    <r>
      <rPr>
        <sz val="12"/>
        <rFont val="ＭＳ Ｐゴシック"/>
        <family val="3"/>
      </rPr>
      <t>：　決算額</t>
    </r>
  </si>
  <si>
    <r>
      <t>B</t>
    </r>
    <r>
      <rPr>
        <sz val="12"/>
        <rFont val="ＭＳ Ｐゴシック"/>
        <family val="3"/>
      </rPr>
      <t>：　</t>
    </r>
    <r>
      <rPr>
        <sz val="12"/>
        <rFont val="Arial"/>
        <family val="2"/>
      </rPr>
      <t>A</t>
    </r>
    <r>
      <rPr>
        <sz val="12"/>
        <rFont val="ＭＳ Ｐゴシック"/>
        <family val="3"/>
      </rPr>
      <t>のうち課税取引にならないもの</t>
    </r>
  </si>
  <si>
    <r>
      <t>C(A-B</t>
    </r>
    <r>
      <rPr>
        <sz val="12"/>
        <rFont val="ＭＳ Ｐゴシック"/>
        <family val="3"/>
      </rPr>
      <t>）
課税取引金額</t>
    </r>
  </si>
  <si>
    <t>収入金額</t>
  </si>
  <si>
    <t>販売金額</t>
  </si>
  <si>
    <t>家事消費</t>
  </si>
  <si>
    <t>事業消費</t>
  </si>
  <si>
    <t>雑収入</t>
  </si>
  <si>
    <t>未成熟果樹収入</t>
  </si>
  <si>
    <t>小    計</t>
  </si>
  <si>
    <t>農産物の棚卸高</t>
  </si>
  <si>
    <t>期首</t>
  </si>
  <si>
    <t>期末</t>
  </si>
  <si>
    <t>計</t>
  </si>
  <si>
    <t>経費</t>
  </si>
  <si>
    <t>期首棚卸</t>
  </si>
  <si>
    <t>期首肥育牛棚卸高
（販売用子牛資産含む）</t>
  </si>
  <si>
    <t>農産物以外の
棚卸高</t>
  </si>
  <si>
    <t>農産物以外の棚卸高</t>
  </si>
  <si>
    <t>経費から差引く
果樹牛馬等の育成費用</t>
  </si>
  <si>
    <t>差引金額</t>
  </si>
  <si>
    <t>課税売上高計算表</t>
  </si>
  <si>
    <t>課税仕入高計算表</t>
  </si>
  <si>
    <t>項目</t>
  </si>
  <si>
    <t>事業所得に係る課税売上高</t>
  </si>
  <si>
    <r>
      <t>損益計算書の売上</t>
    </r>
    <r>
      <rPr>
        <sz val="12"/>
        <rFont val="Arial"/>
        <family val="2"/>
      </rPr>
      <t>(</t>
    </r>
    <r>
      <rPr>
        <sz val="12"/>
        <rFont val="ＭＳ Ｐゴシック"/>
        <family val="3"/>
      </rPr>
      <t>収入）金額</t>
    </r>
  </si>
  <si>
    <t>事業所得に係る課税仕入高</t>
  </si>
  <si>
    <t>損益計算書の仕入金額と経費の金額の合計</t>
  </si>
  <si>
    <t>１　のうち課税売上にならないもの</t>
  </si>
  <si>
    <t>１　のうち課税仕入にならないもの</t>
  </si>
  <si>
    <t>差引課税売上高</t>
  </si>
  <si>
    <t>差引課税仕入高</t>
  </si>
  <si>
    <t>不動産所得に係る課税売上高</t>
  </si>
  <si>
    <t>損益計算書の収入金額</t>
  </si>
  <si>
    <t>不動産所得に係る課税仕入高</t>
  </si>
  <si>
    <t>損益計算書の必要経費の合計額</t>
  </si>
  <si>
    <t>４　のうち課税売上にならないもの</t>
  </si>
  <si>
    <t>４　のうち課税仕入にならないもの</t>
  </si>
  <si>
    <t>所得に係る課税売上高</t>
  </si>
  <si>
    <t>所得に係る課税仕入高</t>
  </si>
  <si>
    <t>７　のうち課税売上にならないもの</t>
  </si>
  <si>
    <t>７　のうち課税仕入にならないもの</t>
  </si>
  <si>
    <t>業務用資産の譲渡所得に係る課税売上高</t>
  </si>
  <si>
    <t>業務用固定資産等の譲渡収入金額</t>
  </si>
  <si>
    <t>業務用資産の譲渡所得に係る課税仕入高</t>
  </si>
  <si>
    <t>業務用固定資産等の取得費</t>
  </si>
  <si>
    <t>１０　のうち課税売上にならないもの</t>
  </si>
  <si>
    <t>１０　のうち課税仕入にならないもの</t>
  </si>
  <si>
    <t>課税売上高の合計額（３＋６＋９＋１２）</t>
  </si>
  <si>
    <t>課税仕入高の合計額（３＋６＋９＋１２）</t>
  </si>
  <si>
    <t>課税標準額の計算</t>
  </si>
  <si>
    <t>注：本則課税で、課税売上割合が９５％未満時、このソフトでは、控除対象仕入れ税額は「一括比例配分方式」で計算していますが、左記青枠の中に数値を入れると、自動的に「個別対応方式」で計算されます。</t>
  </si>
  <si>
    <t>消費税額</t>
  </si>
  <si>
    <r>
      <t xml:space="preserve">本則課税
</t>
    </r>
    <r>
      <rPr>
        <b/>
        <sz val="14"/>
        <rFont val="ＭＳ Ｐゴシック"/>
        <family val="3"/>
      </rPr>
      <t>課税期間分の消費税及び地方消費税の確定申告書</t>
    </r>
  </si>
  <si>
    <t>この申告書による消費税の税額の計算</t>
  </si>
  <si>
    <t>課税標準額</t>
  </si>
  <si>
    <t>控除過大調整額</t>
  </si>
  <si>
    <t>割賦基準の適用</t>
  </si>
  <si>
    <t>○</t>
  </si>
  <si>
    <t>無</t>
  </si>
  <si>
    <t>控除税額</t>
  </si>
  <si>
    <t>控除対象仕入税額</t>
  </si>
  <si>
    <t>延払基準の適用</t>
  </si>
  <si>
    <t>○</t>
  </si>
  <si>
    <t>返還等対価に係る税額</t>
  </si>
  <si>
    <t>工事進行基準の適用</t>
  </si>
  <si>
    <t>○</t>
  </si>
  <si>
    <t>貸倒れに係る係る税額</t>
  </si>
  <si>
    <t>現金主義会計の適用</t>
  </si>
  <si>
    <t>○</t>
  </si>
  <si>
    <t>控除税額小計</t>
  </si>
  <si>
    <t>課税標準額に対する消費税額の計算の特例の適用</t>
  </si>
  <si>
    <t>○</t>
  </si>
  <si>
    <t>控除不足還付税額</t>
  </si>
  <si>
    <t>差引税額</t>
  </si>
  <si>
    <t>控除税額の
計算方法</t>
  </si>
  <si>
    <t>課税売上割合</t>
  </si>
  <si>
    <t>95%未満</t>
  </si>
  <si>
    <t>個別対応方式</t>
  </si>
  <si>
    <t>中間納付税額</t>
  </si>
  <si>
    <t>一括比例配分方式</t>
  </si>
  <si>
    <t>納付税額</t>
  </si>
  <si>
    <r>
      <t>95%</t>
    </r>
    <r>
      <rPr>
        <sz val="8"/>
        <rFont val="ＭＳ Ｐゴシック"/>
        <family val="3"/>
      </rPr>
      <t>以上</t>
    </r>
  </si>
  <si>
    <t>全額控除</t>
  </si>
  <si>
    <t>中間納付還付税額</t>
  </si>
  <si>
    <t>この申告書が修正申告書である場合</t>
  </si>
  <si>
    <t>既確定税額</t>
  </si>
  <si>
    <t>基準期間の課税売上高</t>
  </si>
  <si>
    <t>差引納付税額</t>
  </si>
  <si>
    <t>課税資産の譲渡
等の対価の額</t>
  </si>
  <si>
    <t>資産の譲渡
等の対価の額</t>
  </si>
  <si>
    <t>この申告書による地方消費税の税額の計算</t>
  </si>
  <si>
    <t>地方消費税の課税標準となる消費税額</t>
  </si>
  <si>
    <t>譲渡割額</t>
  </si>
  <si>
    <t>還付額</t>
  </si>
  <si>
    <t>納付額</t>
  </si>
  <si>
    <t>中間納付譲渡割額</t>
  </si>
  <si>
    <t>納付譲渡割額</t>
  </si>
  <si>
    <t>中間納付還付譲渡割額</t>
  </si>
  <si>
    <t>既確定譲渡割額</t>
  </si>
  <si>
    <t>差引納付譲渡割額</t>
  </si>
  <si>
    <t>消費税及び地方消費税の
合計（納付又は還付）税額</t>
  </si>
  <si>
    <r>
      <t xml:space="preserve">簡易課税
</t>
    </r>
    <r>
      <rPr>
        <b/>
        <sz val="14"/>
        <rFont val="ＭＳ Ｐゴシック"/>
        <family val="3"/>
      </rPr>
      <t>課税期間分の消費税及び地方消費税の確定申告書</t>
    </r>
  </si>
  <si>
    <t>貸倒回収額に係る消費税額</t>
  </si>
  <si>
    <t>○</t>
  </si>
  <si>
    <t>○</t>
  </si>
  <si>
    <t>区分</t>
  </si>
  <si>
    <t>課税売上高</t>
  </si>
  <si>
    <t>売上割合</t>
  </si>
  <si>
    <t>第1種</t>
  </si>
  <si>
    <t>第2種</t>
  </si>
  <si>
    <t>第3種</t>
  </si>
  <si>
    <t>第4種</t>
  </si>
  <si>
    <t>この課税期間の課税売上高</t>
  </si>
  <si>
    <t>第5種</t>
  </si>
  <si>
    <t>計</t>
  </si>
  <si>
    <t>消費税及び地方消費税の合計
（納付又は還付）税</t>
  </si>
  <si>
    <t>事業種類判定　１：１種類　２：２種類以上</t>
  </si>
  <si>
    <t>区分</t>
  </si>
  <si>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×70</t>
    </r>
    <r>
      <rPr>
        <sz val="12"/>
        <rFont val="ＭＳ Ｐゴシック"/>
        <family val="3"/>
      </rPr>
      <t>％</t>
    </r>
    <r>
      <rPr>
        <sz val="12"/>
        <rFont val="Arial"/>
        <family val="2"/>
      </rPr>
      <t xml:space="preserve">] </t>
    </r>
    <r>
      <rPr>
        <sz val="12"/>
        <rFont val="ＭＳ Ｐゴシック"/>
        <family val="3"/>
      </rPr>
      <t>／⑫</t>
    </r>
    <r>
      <rPr>
        <sz val="12"/>
        <rFont val="Arial"/>
        <family val="2"/>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</si>
  <si>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</si>
  <si>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</si>
  <si>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×70</t>
    </r>
    <r>
      <rPr>
        <sz val="12"/>
        <rFont val="ＭＳ Ｐゴシック"/>
        <family val="3"/>
      </rPr>
      <t>％</t>
    </r>
    <r>
      <rPr>
        <sz val="12"/>
        <rFont val="Arial"/>
        <family val="2"/>
      </rPr>
      <t xml:space="preserve">] </t>
    </r>
    <r>
      <rPr>
        <sz val="12"/>
        <rFont val="ＭＳ Ｐゴシック"/>
        <family val="3"/>
      </rPr>
      <t>／⑫</t>
    </r>
    <r>
      <rPr>
        <sz val="12"/>
        <rFont val="Arial"/>
        <family val="2"/>
      </rPr>
      <t>]</t>
    </r>
  </si>
  <si>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</si>
  <si>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t>事業合計</t>
  </si>
  <si>
    <t>第2種事業</t>
  </si>
  <si>
    <t>第3種事業</t>
  </si>
  <si>
    <t>第4種事業</t>
  </si>
  <si>
    <t>第5種事業</t>
  </si>
  <si>
    <t xml:space="preserve">平成 18 年度分所得税青色申告決算書（不動産所得用） </t>
  </si>
  <si>
    <t>経過措置対象課税資産の</t>
  </si>
  <si>
    <t>一般</t>
  </si>
  <si>
    <t>兼地方消費税の課税標準となる消費税額計算表</t>
  </si>
  <si>
    <t>譲渡等を含む課税期間用</t>
  </si>
  <si>
    <t>氏名又は名称</t>
  </si>
  <si>
    <t>円</t>
  </si>
  <si>
    <t>②</t>
  </si>
  <si>
    <t>③</t>
  </si>
  <si>
    <t>(付表2-(2)の㉑・㉒Ａ欄の合計金額)</t>
  </si>
  <si>
    <t>(付表2-(2)の㉑・㉒Ｂ欄の合計金額)</t>
  </si>
  <si>
    <t>(付表2-(2)の㉑・㉒Ｃ欄の合計金額)</t>
  </si>
  <si>
    <t>④</t>
  </si>
  <si>
    <t>(付表2-(2)の⑳Ａ欄の金額)</t>
  </si>
  <si>
    <t>(付表2-(2)の⑳Ｂ欄の金額)</t>
  </si>
  <si>
    <t>(付表2-(2)の⑳Ｃ欄の金額)</t>
  </si>
  <si>
    <t>⑤</t>
  </si>
  <si>
    <t>⑥</t>
  </si>
  <si>
    <t>※⑪Ｂ欄へ</t>
  </si>
  <si>
    <t>※⑪Ｃ欄へ</t>
  </si>
  <si>
    <t>⑨</t>
  </si>
  <si>
    <t>※⑫Ｂ欄へ</t>
  </si>
  <si>
    <t>※⑫Ｃ欄へ</t>
  </si>
  <si>
    <t>⑩</t>
  </si>
  <si>
    <t>⑪</t>
  </si>
  <si>
    <t>(⑧Ｂ欄の金額)</t>
  </si>
  <si>
    <t>(⑧Ｃ欄の金額)</t>
  </si>
  <si>
    <t>⑫</t>
  </si>
  <si>
    <t>(⑨Ｂ欄の金額)</t>
  </si>
  <si>
    <t>(⑨Ｃ欄の金額)</t>
  </si>
  <si>
    <t>⑬</t>
  </si>
  <si>
    <t>⑭</t>
  </si>
  <si>
    <t>(⑪Ｂ欄×25/100)</t>
  </si>
  <si>
    <t>(⑪Ｃ欄×17/63)</t>
  </si>
  <si>
    <t>納税額</t>
  </si>
  <si>
    <t>⑮</t>
  </si>
  <si>
    <t>(⑫Ｂ欄×25/100)</t>
  </si>
  <si>
    <t>(⑫Ｃ欄×17/63)</t>
  </si>
  <si>
    <t>⑯</t>
  </si>
  <si>
    <t>第28-(5)号様式</t>
  </si>
  <si>
    <t>　付表２-(２)  課税売上割合・控除対象仕入税額等の計算表</t>
  </si>
  <si>
    <t xml:space="preserve">                   〔経過措置対象課税資産の譲渡等を含む課税期間用〕</t>
  </si>
  <si>
    <t>一 般</t>
  </si>
  <si>
    <t>課税期間</t>
  </si>
  <si>
    <t>課税売上額（税抜き）</t>
  </si>
  <si>
    <t>①</t>
  </si>
  <si>
    <t>免税売上額</t>
  </si>
  <si>
    <t>②</t>
  </si>
  <si>
    <t>課税資産の譲渡等の対価の額（④の金額）</t>
  </si>
  <si>
    <t>非課税売上額</t>
  </si>
  <si>
    <t>資産の譲渡等の対価の額（⑤＋⑥）</t>
  </si>
  <si>
    <t>⑦</t>
  </si>
  <si>
    <t>課税売上割合（④／⑦）</t>
  </si>
  <si>
    <t>課税仕入れに係る支払対価の額（税込み）</t>
  </si>
  <si>
    <t>⑧</t>
  </si>
  <si>
    <t>課税仕入れに係る消費税額</t>
  </si>
  <si>
    <t>(⑧Ａ欄×3/103）</t>
  </si>
  <si>
    <t>(⑧Ｂ欄×4/105)</t>
  </si>
  <si>
    <t>(⑧Ｃ欄×6.3/108)</t>
  </si>
  <si>
    <t>課税貨物に係る消費税額</t>
  </si>
  <si>
    <t>課税仕入れ等の税額の合計額（⑨＋⑩±⑪）</t>
  </si>
  <si>
    <t>⑫のうち、課税売上げにのみ要するもの</t>
  </si>
  <si>
    <t>⑰</t>
  </si>
  <si>
    <t>⑱</t>
  </si>
  <si>
    <t>⑲</t>
  </si>
  <si>
    <t>差引</t>
  </si>
  <si>
    <t>⑳</t>
  </si>
  <si>
    <t>※付表１の④Ａ欄へ</t>
  </si>
  <si>
    <t>※付表１の④Ｂ欄へ</t>
  </si>
  <si>
    <t>※付表１の④Ｃ欄へ</t>
  </si>
  <si>
    <t>㉑</t>
  </si>
  <si>
    <t>※付表１の③Ａ欄へ</t>
  </si>
  <si>
    <t>※付表１の③Ｂ欄へ</t>
  </si>
  <si>
    <t>※付表１の③Ｃ欄へ</t>
  </si>
  <si>
    <t>貸倒回収に係る消費税額</t>
  </si>
  <si>
    <t>㉒</t>
  </si>
  <si>
    <t>付表１　旧・新税率別、消費税額計算表</t>
  </si>
  <si>
    <t>④</t>
  </si>
  <si>
    <t>⑯</t>
  </si>
  <si>
    <t>　　　　年　　　　月　　　　日　～
　　　　年　　　　月　　　　日</t>
  </si>
  <si>
    <t>税率3%適用分
A</t>
  </si>
  <si>
    <t>税率4%適用分
B</t>
  </si>
  <si>
    <t>税率6.3%適用分
C</t>
  </si>
  <si>
    <t>控除過大
調整税額</t>
  </si>
  <si>
    <t>控除対象
仕入税額</t>
  </si>
  <si>
    <t>返還等対価
に係る税額</t>
  </si>
  <si>
    <t>貸倒れに
係る税額</t>
  </si>
  <si>
    <t>控除税額小計
（④＋⑤＋⑥）</t>
  </si>
  <si>
    <t>控除不足還付税額
（⑦－②－③）</t>
  </si>
  <si>
    <t>差引税額
（②＋③－⑦）</t>
  </si>
  <si>
    <t>合計差引税額
（⑨－⑧）　</t>
  </si>
  <si>
    <t>控除不足
還付税額</t>
  </si>
  <si>
    <t>合計差引地方消費税の
課税標準となる消費税額
（⑫－⑪）</t>
  </si>
  <si>
    <t>譲渡税額</t>
  </si>
  <si>
    <t>合計差引譲渡割額
（⑮－⑭）</t>
  </si>
  <si>
    <t>※申告書の②欄へ</t>
  </si>
  <si>
    <t>※申告書の③欄へ</t>
  </si>
  <si>
    <t>※申告書の④欄へ</t>
  </si>
  <si>
    <t>※申告書の⑤欄へ</t>
  </si>
  <si>
    <t>※申告書の⑥欄へ</t>
  </si>
  <si>
    <t>※申告書の①欄へ　　円</t>
  </si>
  <si>
    <t>※申告書の⑦欄へ</t>
  </si>
  <si>
    <t>※マイナスの場合は申告書⑧欄へ
※プラスの場合は申告書⑨欄へ</t>
  </si>
  <si>
    <t>※マイナスの場合は申告書⑰欄へ
※プラスの場合は申告書⑱欄へ</t>
  </si>
  <si>
    <t>※マイナスの場合は申告書⑲欄へ
※プラスの場合は申告書⑳欄へ</t>
  </si>
  <si>
    <t>税率３％適用分
A</t>
  </si>
  <si>
    <t>税率４％適用分
B</t>
  </si>
  <si>
    <t>税率6.3％適用分
C</t>
  </si>
  <si>
    <t>合計D
（A + B + C)</t>
  </si>
  <si>
    <t>合計　D
（A　+　B　+　C)</t>
  </si>
  <si>
    <t>非課税資産の輸出等の金額、
海外支店等へ移送した資産の価額</t>
  </si>
  <si>
    <t>※申告書の⑮欄へ</t>
  </si>
  <si>
    <t>※申告書の⑯欄へ</t>
  </si>
  <si>
    <t>※端数切捨て</t>
  </si>
  <si>
    <t>納税義務の免除を受けない（受ける）こととなった
場合における消費税額の調整（加算又は減算）額</t>
  </si>
  <si>
    <t>⑫のうち、課税売上げと非課税売上げに共通して要するもの</t>
  </si>
  <si>
    <t>個別対応方式により控除する課税仕入れ等の税額
〔⑭＋(⑮×④／⑦)〕</t>
  </si>
  <si>
    <t>調整対象固定資産を課税業務用（非課税業務用）に転用した場合の調整（加算又は減算）額</t>
  </si>
  <si>
    <t>課税売上割合変動時の調整対象固定資産に係る消費税額の調整（加算又は減算）額</t>
  </si>
  <si>
    <t>控除対象仕入税額
〔(⑬、⑯又は⑰の金額)±⑱±⑲〕がプラスの時</t>
  </si>
  <si>
    <t>控除過大調整税額
'〔(⑬、⑯又は⑰の金額)±⑱±⑲〕がマイナスの時</t>
  </si>
  <si>
    <t>　　　年　　月　　日～
　　　年　　月　　日</t>
  </si>
  <si>
    <t>課税売上高が５億円以下、かつ、
課税売上割合が95％以上の場合   (⑫の金額)</t>
  </si>
  <si>
    <t>課税資産の譲渡等の対価の額
（①＋②＋③）</t>
  </si>
  <si>
    <t>一括比例配分方式により控除する課税仕入れ等
の税額　　　　　　　　　　　(⑫×④／⑦)</t>
  </si>
  <si>
    <t>　の調整
控除税額</t>
  </si>
  <si>
    <t>　95％未満の場合
課税売上割合が
　5億円超又は
課税売上高が</t>
  </si>
  <si>
    <t>となる消費税額
地方消費税の課税標準</t>
  </si>
  <si>
    <t>第28-⑺号様式</t>
  </si>
  <si>
    <t>付表５-⑵ 控除対象仕入税額等の計算表〔経過措置対象課税資産の譲渡等を含む課税期間用〕</t>
  </si>
  <si>
    <t>簡易</t>
  </si>
  <si>
    <t>課税期間</t>
  </si>
  <si>
    <t>氏名又は名称</t>
  </si>
  <si>
    <t>Ⅰ　控除対象仕入税額の計算の基礎となる消費税額</t>
  </si>
  <si>
    <t>項目</t>
  </si>
  <si>
    <t>Ⅱ　１種類の事業の専業者の場合の控除対象仕入税額</t>
  </si>
  <si>
    <t>Ⅲ　 ２種類以上の事業を営む事業者の場合の控除対象仕入税額</t>
  </si>
  <si>
    <t>⑴　事業区分別の課税売上高（税抜き）の明細</t>
  </si>
  <si>
    <t>⑵　⑴の事業区分別の課税売上高に係る消費税額の明細</t>
  </si>
  <si>
    <t>⑶ 　控除対象仕入税額の計算式区分の明細</t>
  </si>
  <si>
    <t>イ 　原則計算を適用する場合</t>
  </si>
  <si>
    <t>ロ　 特例計算を適用する場合</t>
  </si>
  <si>
    <t>(イ)　１種類の事業で75％以上</t>
  </si>
  <si>
    <t>(ロ)　２種類の事業で75％以上</t>
  </si>
  <si>
    <t>　　　　　年　　月　　日　～
　　　　　年　　月　　日</t>
  </si>
  <si>
    <t>課税標準額に
対する消費税額</t>
  </si>
  <si>
    <t>貸倒回収に
係る消費税額</t>
  </si>
  <si>
    <t>売上対価の返還等
に係る消費税額</t>
  </si>
  <si>
    <t>控除対象仕入税額の計算
の基礎となる消費税額
（ ① + ② - ③ ）</t>
  </si>
  <si>
    <t>（付表4の③Ａ欄）</t>
  </si>
  <si>
    <t>（付表4の③Ｂ欄）</t>
  </si>
  <si>
    <t>（付表4の③Ｃ欄）</t>
  </si>
  <si>
    <t>（付表4の③Ｄ欄）</t>
  </si>
  <si>
    <t>（付表4の⑤Ａ欄）</t>
  </si>
  <si>
    <t>（付表4の⑤Ｂ欄）</t>
  </si>
  <si>
    <t>（付表4の⑤Ｃ欄）</t>
  </si>
  <si>
    <t>（付表4の⑤Ｄ欄）</t>
  </si>
  <si>
    <t>①</t>
  </si>
  <si>
    <t>②</t>
  </si>
  <si>
    <t>③</t>
  </si>
  <si>
    <t>④</t>
  </si>
  <si>
    <t>⑤</t>
  </si>
  <si>
    <t>④ × み な し 仕 入 率
（90%・80%・70%・60%・50%）</t>
  </si>
  <si>
    <t>※付表4の④Ｂ欄へ　　円</t>
  </si>
  <si>
    <t>※付表4の④Ｃ欄へ　　円</t>
  </si>
  <si>
    <t>※付表4の④Ｄ欄へ　　円</t>
  </si>
  <si>
    <t>事業区分別の合計額</t>
  </si>
  <si>
    <t>円</t>
  </si>
  <si>
    <t>売上
区分</t>
  </si>
  <si>
    <t>％</t>
  </si>
  <si>
    <t>※　〃</t>
  </si>
  <si>
    <t>第一種事業
（ 卸売業）</t>
  </si>
  <si>
    <t>第二種事業
（ 小売業）</t>
  </si>
  <si>
    <t>第三種事業
（ 製造業等）</t>
  </si>
  <si>
    <t>第四種事業
（ その他）</t>
  </si>
  <si>
    <t>第五種事業
（ サービス業等）</t>
  </si>
  <si>
    <t>控 除 対 象 仕 入 税 額 の 計 算 式 区</t>
  </si>
  <si>
    <t>（⑦D/⑥D・⑧D/⑥D・⑨D/⑥D・⑩D/⑥D・⑪D/⑥D）≧75％
④×みなし仕入率（90%・80％・70%・60%・50%）</t>
  </si>
  <si>
    <t>第一種及び第二種事業
（⑦D+⑧D）/⑥D≧75%</t>
  </si>
  <si>
    <t>第一種及び第三種事業
（⑦D+⑨D）/⑥D≧75%</t>
  </si>
  <si>
    <t>第一種及び第四種事業
（⑦D+⑩D）/⑥D≧75%</t>
  </si>
  <si>
    <t>第一種及び第五種事業
（⑦D+⑪D）/⑥D≧75%</t>
  </si>
  <si>
    <t>第二種及び第三種事業
（⑧D+⑨D）/⑥D≧75%</t>
  </si>
  <si>
    <t>第二種及び第四種事業
（⑧D+⑩D）/⑥D≧75%</t>
  </si>
  <si>
    <t>第二種及び第五種事業
（⑧D+⑪D）/⑥D≧75%</t>
  </si>
  <si>
    <t>第三種及び第四種事業
（⑨D+⑩D）/⑥D≧75%</t>
  </si>
  <si>
    <t>第三種及び第五種事業
（⑨D+⑪D）/⑥D≧75%</t>
  </si>
  <si>
    <t>第四種及び第五種事業
（⑩D+⑪D）/⑥D≧75%</t>
  </si>
  <si>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×80</t>
    </r>
    <r>
      <rPr>
        <sz val="12"/>
        <rFont val="ＭＳ Ｐゴシック"/>
        <family val="3"/>
      </rPr>
      <t>％</t>
    </r>
    <r>
      <rPr>
        <sz val="12"/>
        <rFont val="Arial"/>
        <family val="2"/>
      </rPr>
      <t xml:space="preserve">] </t>
    </r>
    <r>
      <rPr>
        <sz val="12"/>
        <rFont val="ＭＳ Ｐゴシック"/>
        <family val="3"/>
      </rPr>
      <t>／⑫</t>
    </r>
    <r>
      <rPr>
        <sz val="12"/>
        <rFont val="Arial"/>
        <family val="2"/>
      </rPr>
      <t>]</t>
    </r>
  </si>
  <si>
    <t>ハ　上記の計算式区分から選択した控除対象仕入税額</t>
  </si>
  <si>
    <t>選択可能な計算式区分（ ⑱ ～㉙ ）
の内から選択した金額</t>
  </si>
  <si>
    <t>※付表4の④Ａ欄へ　　円</t>
  </si>
  <si>
    <t xml:space="preserve">④×みなし仕入率　｛　（⑬×90%＋⑭×80%＋⑮×70%＋⑯×60%＋⑰×50%）　／　⑫　　｝
</t>
  </si>
  <si>
    <t>第28-⑹号様式</t>
  </si>
  <si>
    <t>経過措置対象課税資産の</t>
  </si>
  <si>
    <t>譲渡等を含む課税期間用</t>
  </si>
  <si>
    <t>課税標準額</t>
  </si>
  <si>
    <t>貸倒回収に
係る消費税額</t>
  </si>
  <si>
    <t>②</t>
  </si>
  <si>
    <t>付表４ 　　旧・新税率別、消費税額計算表</t>
  </si>
  <si>
    <t>　　　　　　　兼地方消費税の課税標準となる消費税額計算表</t>
  </si>
  <si>
    <t>円</t>
  </si>
  <si>
    <t>控除対象
仕入税額</t>
  </si>
  <si>
    <t>返還等対価
に係る税額</t>
  </si>
  <si>
    <t>貸倒れに
係る税額</t>
  </si>
  <si>
    <t>控除税額小計
（ ④ + ⑤ + ⑥ ）</t>
  </si>
  <si>
    <t>控除税額</t>
  </si>
  <si>
    <t>課税標準となる消費税額
地方消費税の</t>
  </si>
  <si>
    <t>譲渡割額</t>
  </si>
  <si>
    <t>控除不足還付税額
（ ⑦ - ② - ③ ）</t>
  </si>
  <si>
    <t>差引税額
（ ② + ③ - ⑦ ）</t>
  </si>
  <si>
    <t>合計差引税額
（ ⑨ - ⑧ ）</t>
  </si>
  <si>
    <t>控除不足
還付税額</t>
  </si>
  <si>
    <t>差引税額</t>
  </si>
  <si>
    <t>合計差引税額
（ ⑫ － ⑪ ）</t>
  </si>
  <si>
    <t>還付税額</t>
  </si>
  <si>
    <t>納税額</t>
  </si>
  <si>
    <t>合計差引譲渡割額
（ ⑮ － ⑭ ）</t>
  </si>
  <si>
    <t>※付表5-(2)の①A欄へ</t>
  </si>
  <si>
    <t>※付表5-(2)の①B欄へ</t>
  </si>
  <si>
    <t>※付表5-(2)の①C欄へ</t>
  </si>
  <si>
    <t>※付表5-(2)の①D欄及び申告書の②欄へ</t>
  </si>
  <si>
    <t>※付表5-(2)の②A欄へ</t>
  </si>
  <si>
    <t>※付表5-(2)の②B欄へ</t>
  </si>
  <si>
    <t>※付表5-(2)の②C欄へ</t>
  </si>
  <si>
    <t>※付表5-(2)の②D欄及び申告書の③欄へ</t>
  </si>
  <si>
    <t>（付表5-(2)の⑤A欄
又は㉚A欄の金額）</t>
  </si>
  <si>
    <t>（付表5-(2)の⑤Ｂ欄
又は㉚Ｂ欄の金額）</t>
  </si>
  <si>
    <t>（付表5-(2)の⑤Ｃ欄
又は㉚Ｃ欄の金額）</t>
  </si>
  <si>
    <t>（付表5-(2)の⑤Ｄ欄又は㉚Ｄ欄の金額）
※申告書の④欄へ</t>
  </si>
  <si>
    <t>※付表5-(2)の③Ａ欄へ</t>
  </si>
  <si>
    <t>※付表5-(2)の③Ｂ欄へ</t>
  </si>
  <si>
    <t>※付表5-(2)の③Ｃ欄へ</t>
  </si>
  <si>
    <t>※付表5-(2)の③Ｄ欄及び申告書の⑤欄へ</t>
  </si>
  <si>
    <t>※申告書の⑥欄へ</t>
  </si>
  <si>
    <t>※申告書の⑦欄へ</t>
  </si>
  <si>
    <t>※⑪B欄へ</t>
  </si>
  <si>
    <t>※⑪C欄へ</t>
  </si>
  <si>
    <t>※⑫B欄へ</t>
  </si>
  <si>
    <t>※⑫C欄へ</t>
  </si>
  <si>
    <t>※マイナスの場合は申告書の⑧欄へ
※プラスの場合は申告書の⑨欄へ</t>
  </si>
  <si>
    <t>（⑧B欄の金額）</t>
  </si>
  <si>
    <t>※⑪C欄へ</t>
  </si>
  <si>
    <t>※⑫B欄へ</t>
  </si>
  <si>
    <t>※⑫C欄へ</t>
  </si>
  <si>
    <t>（⑪B欄×25/100）</t>
  </si>
  <si>
    <t>（⑪C欄×17/63）</t>
  </si>
  <si>
    <t>（⑫B欄×25/100）</t>
  </si>
  <si>
    <t>（⑫C欄×17/63）</t>
  </si>
  <si>
    <t>※マイナスの場合は申告書の⑲欄へ
※プラスの場合は申告書の⑳欄へ</t>
  </si>
  <si>
    <t>③</t>
  </si>
  <si>
    <t>④</t>
  </si>
  <si>
    <t>⑤</t>
  </si>
  <si>
    <t>⑥</t>
  </si>
  <si>
    <t>⑦</t>
  </si>
  <si>
    <t>⑧</t>
  </si>
  <si>
    <t>⑨</t>
  </si>
  <si>
    <t>⑩</t>
  </si>
  <si>
    <t>⑪</t>
  </si>
  <si>
    <t>⑫</t>
  </si>
  <si>
    <t>⑬</t>
  </si>
  <si>
    <t>⑭</t>
  </si>
  <si>
    <t>⑮</t>
  </si>
  <si>
    <t>⑯</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</si>
  <si>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</si>
  <si>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</si>
  <si>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</si>
  <si>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</si>
  <si>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</si>
  <si>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</si>
  <si>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</si>
  <si>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</si>
  <si>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</si>
  <si>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</si>
  <si>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</si>
  <si>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</si>
  <si>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</si>
  <si>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</si>
  <si>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</si>
  <si>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</si>
  <si>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</si>
  <si>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</si>
  <si>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</si>
  <si>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</si>
  <si>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</si>
  <si>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</si>
  <si>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</si>
  <si>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</si>
  <si>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</si>
  <si>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（付表4の②Ｂ欄）　　　　　円</t>
  </si>
  <si>
    <t>（付表4の②Ｄ欄）　　　　円</t>
  </si>
  <si>
    <t>※付表4の④Ａ欄へ　　　　　円</t>
  </si>
  <si>
    <t>（付表4の②Ａ欄）　　　　　　円</t>
  </si>
  <si>
    <t>（付表4の②Ｂ欄）　　　　　　円</t>
  </si>
  <si>
    <t>※付表4の④Ｂ欄へ　　　　円</t>
  </si>
  <si>
    <t>※付表4の④Ｃ欄へ　　　　円</t>
  </si>
  <si>
    <t>※付表4の④Ｄ欄へ　　　　円</t>
  </si>
  <si>
    <t>※申告書「事業区分」欄へ 　円</t>
  </si>
  <si>
    <t>うち税率4％適用分</t>
  </si>
  <si>
    <t>うち税率6.3％適用分</t>
  </si>
  <si>
    <t>4%</t>
  </si>
  <si>
    <t>6.3%</t>
  </si>
  <si>
    <t>雑収入―特別利益</t>
  </si>
  <si>
    <t>合計　（１４　＋　１５　）</t>
  </si>
  <si>
    <t>区分</t>
  </si>
  <si>
    <t>①および②の内容</t>
  </si>
  <si>
    <t>課税標準額</t>
  </si>
  <si>
    <t>消費税額</t>
  </si>
  <si>
    <t>⑰または⑱の内訳</t>
  </si>
  <si>
    <t>地方消費税の課税標準となる消費税額</t>
  </si>
  <si>
    <t>※申告書の①欄へ</t>
  </si>
  <si>
    <t>税抜き</t>
  </si>
  <si>
    <t>税込</t>
  </si>
  <si>
    <t xml:space="preserve">個人簿記150210.xls
</t>
  </si>
  <si>
    <t xml:space="preserve">個人簿記150210.xls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</si>
</sst>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0.0%"/>
    <numFmt numFmtId="180" formatCode="#,##0_ ;[Red]\-#,##0\ "/>
    <numFmt numFmtId="181" formatCode="#,##0_);[Red]\(#,##0\)"/>
    <numFmt numFmtId="182" formatCode="#,##0_ \ &quot;円&quot;"/>
    <numFmt numFmtId="183" formatCode="#,##0_ \ &quot;千&quot;&quot;円&quot;"/>
    <numFmt numFmtId="184" formatCode="0.0_);[Red]\(0.0\)"/>
  </numFmts>
  <fonts count="113">
    <font>
      <sz val="11"/>
      <name val="ＭＳ Ｐゴシック"/>
      <family val="3"/>
    </font>
    <font>
      <sz val="11"/>
      <color indexed="8"/>
      <name val="ＭＳ Ｐゴシック"/>
      <family val="3"/>
    </font>
    <font>
      <sz val="6"/>
      <name val="ＭＳ Ｐゴシック"/>
      <family val="3"/>
    </font>
    <font>
      <sz val="12"/>
      <name val="Arial"/>
      <family val="2"/>
    </font>
    <font>
      <sz val="12"/>
      <name val="ＭＳ 明朝"/>
      <family val="1"/>
    </font>
    <font>
      <sz val="12"/>
      <name val="リュウミンライト－ＫＬ"/>
      <family val="3"/>
    </font>
    <font>
      <sz val="12"/>
      <name val="ＭＳ Ｐゴシック"/>
      <family val="3"/>
    </font>
    <font>
      <b/>
      <sz val="16"/>
      <name val="ＭＳ Ｐゴシック"/>
      <family val="3"/>
    </font>
    <font>
      <b/>
      <sz val="12"/>
      <name val="ＭＳ Ｐゴシック"/>
      <family val="3"/>
    </font>
    <font>
      <b/>
      <sz val="20"/>
      <name val="Arial"/>
      <family val="2"/>
    </font>
    <font>
      <b/>
      <sz val="36"/>
      <color indexed="12"/>
      <name val="ＭＳ Ｐゴシック"/>
      <family val="3"/>
    </font>
    <font>
      <b/>
      <sz val="14"/>
      <color indexed="12"/>
      <name val="HG創英角ﾎﾟｯﾌﾟ体"/>
      <family val="3"/>
    </font>
    <font>
      <b/>
      <sz val="14"/>
      <name val="ＭＳ Ｐゴシック"/>
      <family val="3"/>
    </font>
    <font>
      <b/>
      <sz val="16"/>
      <color indexed="12"/>
      <name val="HGSｺﾞｼｯｸE"/>
      <family val="3"/>
    </font>
    <font>
      <b/>
      <sz val="18"/>
      <name val="Arial"/>
      <family val="2"/>
    </font>
    <font>
      <b/>
      <sz val="16"/>
      <name val="Arial"/>
      <family val="2"/>
    </font>
    <font>
      <b/>
      <sz val="14"/>
      <name val="Arial"/>
      <family val="2"/>
    </font>
    <font>
      <b/>
      <sz val="12"/>
      <name val="Arial"/>
      <family val="2"/>
    </font>
    <font>
      <b/>
      <sz val="24"/>
      <name val="ＭＳ Ｐゴシック"/>
      <family val="3"/>
    </font>
    <font>
      <b/>
      <sz val="24"/>
      <name val="Arial"/>
      <family val="2"/>
    </font>
    <font>
      <sz val="14"/>
      <name val="Arial"/>
      <family val="2"/>
    </font>
    <font>
      <b/>
      <sz val="20"/>
      <name val="ＭＳ Ｐゴシック"/>
      <family val="3"/>
    </font>
    <font>
      <sz val="14"/>
      <name val="ＭＳ Ｐゴシック"/>
      <family val="3"/>
    </font>
    <font>
      <sz val="12"/>
      <color indexed="9"/>
      <name val="Arial"/>
      <family val="2"/>
    </font>
    <font>
      <sz val="12"/>
      <color indexed="9"/>
      <name val="ＭＳ Ｐゴシック"/>
      <family val="3"/>
    </font>
    <font>
      <sz val="12"/>
      <name val="ＭＳ Ｐ明朝"/>
      <family val="1"/>
    </font>
    <font>
      <sz val="24"/>
      <name val="ＭＳ Ｐゴシック"/>
      <family val="3"/>
    </font>
    <font>
      <sz val="6"/>
      <name val="ＭＳ 明朝"/>
      <family val="1"/>
    </font>
    <font>
      <sz val="13"/>
      <name val="ＭＳ Ｐゴシック"/>
      <family val="3"/>
    </font>
    <font>
      <b/>
      <sz val="18"/>
      <name val="ＭＳ Ｐゴシック"/>
      <family val="3"/>
    </font>
    <font>
      <sz val="18"/>
      <name val="Arial"/>
      <family val="2"/>
    </font>
    <font>
      <sz val="10"/>
      <name val="ＭＳ Ｐゴシック"/>
      <family val="3"/>
    </font>
    <font>
      <sz val="10"/>
      <name val="Arial"/>
      <family val="2"/>
    </font>
    <font>
      <b/>
      <sz val="18"/>
      <color indexed="12"/>
      <name val="ＭＳ Ｐゴシック"/>
      <family val="3"/>
    </font>
    <font>
      <sz val="12"/>
      <color indexed="12"/>
      <name val="ＭＳ Ｐゴシック"/>
      <family val="3"/>
    </font>
    <font>
      <sz val="8"/>
      <name val="ＭＳ Ｐゴシック"/>
      <family val="3"/>
    </font>
    <font>
      <sz val="8"/>
      <name val="Arial"/>
      <family val="2"/>
    </font>
    <font>
      <sz val="9"/>
      <name val="ＭＳ Ｐゴシック"/>
      <family val="3"/>
    </font>
    <font>
      <sz val="8"/>
      <name val="リュウミンライト－ＫＬ"/>
      <family val="3"/>
    </font>
    <font>
      <sz val="9"/>
      <name val="Arial"/>
      <family val="2"/>
    </font>
    <font>
      <sz val="11"/>
      <color indexed="8"/>
      <name val="ＭＳ 明朝"/>
      <family val="1"/>
    </font>
    <font>
      <sz val="18"/>
      <color indexed="10"/>
      <name val="Osaka"/>
      <family val="3"/>
    </font>
    <font>
      <sz val="12"/>
      <color indexed="8"/>
      <name val="ＭＳ 明朝"/>
      <family val="1"/>
    </font>
    <font>
      <b/>
      <sz val="14"/>
      <name val="HG丸ｺﾞｼｯｸM-PRO"/>
      <family val="3"/>
    </font>
    <font>
      <b/>
      <sz val="14"/>
      <color indexed="41"/>
      <name val="HG丸ｺﾞｼｯｸM-PRO"/>
      <family val="3"/>
    </font>
    <font>
      <sz val="10"/>
      <name val="ＭＳ Ｐ明朝"/>
      <family val="1"/>
    </font>
    <font>
      <sz val="14"/>
      <name val="ＭＳ Ｐ明朝"/>
      <family val="1"/>
    </font>
    <font>
      <sz val="18"/>
      <color indexed="9"/>
      <name val="ＭＳ Ｐゴシック"/>
      <family val="3"/>
    </font>
    <font>
      <sz val="12"/>
      <color indexed="17"/>
      <name val="Arial"/>
      <family val="2"/>
    </font>
    <font>
      <sz val="9"/>
      <name val="ＭＳ Ｐ明朝"/>
      <family val="1"/>
    </font>
    <font>
      <sz val="7"/>
      <name val="ＭＳ Ｐ明朝"/>
      <family val="1"/>
    </font>
    <font>
      <sz val="5"/>
      <name val="ＭＳ Ｐ明朝"/>
      <family val="1"/>
    </font>
    <font>
      <sz val="11"/>
      <name val="ＭＳ Ｐ明朝"/>
      <family val="1"/>
    </font>
    <font>
      <sz val="8"/>
      <name val="ＭＳ Ｐ明朝"/>
      <family val="1"/>
    </font>
    <font>
      <sz val="6"/>
      <name val="ＭＳ Ｐ明朝"/>
      <family val="1"/>
    </font>
    <font>
      <sz val="1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63"/>
      <name val="Arial"/>
      <family val="2"/>
    </font>
    <font>
      <sz val="12"/>
      <color indexed="8"/>
      <name val="Arial"/>
      <family val="2"/>
    </font>
    <font>
      <sz val="6"/>
      <color indexed="8"/>
      <name val="ＭＳ Ｐゴシック"/>
      <family val="3"/>
    </font>
    <font>
      <sz val="9"/>
      <color indexed="8"/>
      <name val="ＭＳ Ｐゴシック"/>
      <family val="3"/>
    </font>
    <font>
      <b/>
      <sz val="9"/>
      <color indexed="8"/>
      <name val="ＭＳ Ｐゴシック"/>
      <family val="3"/>
    </font>
    <font>
      <b/>
      <sz val="12"/>
      <color indexed="8"/>
      <name val="ＭＳ Ｐゴシック"/>
      <family val="3"/>
    </font>
    <font>
      <b/>
      <sz val="12"/>
      <color indexed="9"/>
      <name val="ＭＳ Ｐゴシック"/>
      <family val="3"/>
    </font>
    <font>
      <b/>
      <sz val="12"/>
      <color indexed="12"/>
      <name val="ＭＳ Ｐゴシック"/>
      <family val="3"/>
    </font>
    <font>
      <sz val="16"/>
      <color indexed="9"/>
      <name val="HG創英角ﾎﾟｯﾌﾟ体"/>
      <family val="3"/>
    </font>
    <font>
      <sz val="15"/>
      <color indexed="9"/>
      <name val="HG創英角ﾎﾟｯﾌﾟ体"/>
      <family val="3"/>
    </font>
    <font>
      <b/>
      <sz val="15"/>
      <color indexed="9"/>
      <name val="ＭＳ Ｐゴシック"/>
      <family val="3"/>
    </font>
    <font>
      <b/>
      <sz val="20"/>
      <color indexed="8"/>
      <name val="ＭＳ Ｐゴシック"/>
      <family val="3"/>
    </font>
    <font>
      <b/>
      <sz val="20"/>
      <color indexed="8"/>
      <name val="Calibri"/>
      <family val="2"/>
    </font>
    <font>
      <sz val="16"/>
      <color indexed="12"/>
      <name val="HG創英角ﾎﾟｯﾌﾟ体"/>
      <family val="3"/>
    </font>
    <font>
      <b/>
      <sz val="16"/>
      <color indexed="12"/>
      <name val="ＭＳ 明朝"/>
      <family val="1"/>
    </font>
    <font>
      <b/>
      <sz val="14"/>
      <color indexed="12"/>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theme="1"/>
      <name val="Calibri"/>
      <family val="3"/>
    </font>
    <font>
      <sz val="9"/>
      <color rgb="FF333333"/>
      <name val="Arial"/>
      <family val="2"/>
    </font>
    <font>
      <sz val="12"/>
      <color theme="1"/>
      <name val="Arial"/>
      <family val="2"/>
    </font>
    <font>
      <sz val="9"/>
      <color theme="1"/>
      <name val="Calibri"/>
      <family val="3"/>
    </font>
    <font>
      <sz val="6"/>
      <color theme="1"/>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7"/>
        <bgColor indexed="64"/>
      </patternFill>
    </fill>
    <fill>
      <patternFill patternType="solid">
        <fgColor indexed="12"/>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bottom style="medium">
        <color indexed="12"/>
      </bottom>
    </border>
    <border>
      <left style="medium"/>
      <right/>
      <top style="medium"/>
      <bottom style="medium"/>
    </border>
    <border>
      <left style="medium">
        <color indexed="12"/>
      </left>
      <right style="medium">
        <color indexed="12"/>
      </right>
      <top style="medium">
        <color indexed="12"/>
      </top>
      <bottom style="medium">
        <color indexed="12"/>
      </bottom>
    </border>
    <border>
      <left style="medium"/>
      <right style="medium"/>
      <top style="medium"/>
      <bottom style="medium"/>
    </border>
    <border>
      <left/>
      <right/>
      <top style="medium"/>
      <bottom/>
    </border>
    <border>
      <left style="thin"/>
      <right style="thin"/>
      <top style="thin"/>
      <bottom style="thin"/>
    </border>
    <border>
      <left style="thin"/>
      <right/>
      <top style="thin"/>
      <bottom style="thin"/>
    </border>
    <border>
      <left/>
      <right style="thin"/>
      <top style="medium"/>
      <bottom/>
    </border>
    <border>
      <left/>
      <right style="thin"/>
      <top/>
      <bottom/>
    </border>
    <border>
      <left style="thin"/>
      <right style="thin"/>
      <top style="thin"/>
      <bottom style="medium"/>
    </border>
    <border>
      <left style="medium"/>
      <right style="thin"/>
      <top style="medium"/>
      <bottom style="thin"/>
    </border>
    <border>
      <left/>
      <right style="thin"/>
      <top style="medium"/>
      <bottom style="thin"/>
    </border>
    <border>
      <left style="thin"/>
      <right style="thin"/>
      <top style="medium"/>
      <bottom style="thin"/>
    </border>
    <border>
      <left style="thin"/>
      <right/>
      <top style="medium"/>
      <bottom style="thin"/>
    </border>
    <border diagonalUp="1">
      <left/>
      <right style="medium"/>
      <top/>
      <bottom style="thin"/>
      <diagonal style="thin"/>
    </border>
    <border>
      <left style="medium"/>
      <right style="thin"/>
      <top style="thin"/>
      <bottom style="thin"/>
    </border>
    <border>
      <left/>
      <right style="thin"/>
      <top style="thin"/>
      <bottom style="thin"/>
    </border>
    <border diagonalUp="1">
      <left style="thin"/>
      <right style="thin"/>
      <top style="thin"/>
      <bottom style="thin"/>
      <diagonal style="thin"/>
    </border>
    <border diagonalUp="1">
      <left style="thin"/>
      <right style="thin"/>
      <top/>
      <bottom/>
      <diagonal style="thin"/>
    </border>
    <border diagonalUp="1">
      <left style="thin"/>
      <right style="medium"/>
      <top style="thin"/>
      <bottom/>
      <diagonal style="thin"/>
    </border>
    <border>
      <left style="medium"/>
      <right style="thin"/>
      <top style="thin"/>
      <bottom style="medium"/>
    </border>
    <border>
      <left/>
      <right style="thin"/>
      <top style="thin"/>
      <bottom style="medium"/>
    </border>
    <border>
      <left style="thin"/>
      <right/>
      <top style="thin"/>
      <bottom style="medium"/>
    </border>
    <border>
      <left style="medium"/>
      <right style="thin"/>
      <top style="medium"/>
      <bottom style="medium"/>
    </border>
    <border>
      <left/>
      <right style="thin"/>
      <top style="medium"/>
      <bottom style="medium"/>
    </border>
    <border diagonalUp="1">
      <left style="thin"/>
      <right style="thin"/>
      <top style="medium"/>
      <bottom style="medium"/>
      <diagonal style="thin"/>
    </border>
    <border>
      <left style="thin"/>
      <right style="thin"/>
      <top style="medium"/>
      <bottom style="medium"/>
    </border>
    <border>
      <left style="thin"/>
      <right style="medium"/>
      <top style="medium"/>
      <bottom style="medium"/>
    </border>
    <border diagonalUp="1">
      <left style="thin"/>
      <right style="medium"/>
      <top/>
      <bottom/>
      <diagonal style="thin"/>
    </border>
    <border diagonalUp="1">
      <left style="thin"/>
      <right style="thin"/>
      <top style="medium"/>
      <bottom/>
      <diagonal style="thin"/>
    </border>
    <border diagonalUp="1">
      <left style="thin"/>
      <right style="medium"/>
      <top style="medium"/>
      <bottom/>
      <diagonal style="thin"/>
    </border>
    <border diagonalUp="1">
      <left style="thin"/>
      <right style="medium"/>
      <top style="medium"/>
      <bottom style="medium"/>
      <diagonal style="thin"/>
    </border>
    <border>
      <left/>
      <right/>
      <top style="medium"/>
      <bottom style="medium"/>
    </border>
    <border>
      <left/>
      <right style="medium"/>
      <top style="medium"/>
      <bottom style="medium"/>
    </border>
    <border>
      <left/>
      <right style="medium"/>
      <top/>
      <bottom style="medium"/>
    </border>
    <border>
      <left style="thin"/>
      <right style="thin"/>
      <top style="medium"/>
      <bottom/>
    </border>
    <border diagonalUp="1">
      <left style="thin"/>
      <right style="thin"/>
      <top style="medium"/>
      <bottom style="thin"/>
      <diagonal style="thin"/>
    </border>
    <border diagonalUp="1">
      <left style="thin"/>
      <right style="medium"/>
      <top style="medium"/>
      <bottom style="thin"/>
      <diagonal style="thin"/>
    </border>
    <border>
      <left style="medium"/>
      <right style="medium"/>
      <top style="medium"/>
      <bottom/>
    </border>
    <border>
      <left style="thin"/>
      <right/>
      <top style="medium"/>
      <bottom/>
    </border>
    <border>
      <left style="thin"/>
      <right style="thin"/>
      <top/>
      <bottom style="thin"/>
    </border>
    <border>
      <left style="thin"/>
      <right style="medium"/>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bottom style="thin"/>
    </border>
    <border>
      <left style="thin"/>
      <right style="medium"/>
      <top style="thin"/>
      <bottom style="thin"/>
    </border>
    <border>
      <left style="medium"/>
      <right style="medium"/>
      <top/>
      <bottom/>
    </border>
    <border>
      <left style="medium"/>
      <right style="thin"/>
      <top/>
      <bottom style="medium"/>
    </border>
    <border>
      <left style="thin"/>
      <right style="thin"/>
      <top/>
      <bottom style="medium"/>
    </border>
    <border>
      <left/>
      <right style="thin"/>
      <top/>
      <bottom style="medium"/>
    </border>
    <border>
      <left/>
      <right style="thin"/>
      <top style="thin"/>
      <bottom/>
    </border>
    <border>
      <left style="thin"/>
      <right style="thin"/>
      <top style="thin"/>
      <bottom/>
    </border>
    <border>
      <left style="thin"/>
      <right style="thin"/>
      <top/>
      <bottom/>
    </border>
    <border>
      <left style="thin"/>
      <right style="medium"/>
      <top style="medium"/>
      <bottom/>
    </border>
    <border>
      <left style="thin"/>
      <right/>
      <top style="thin"/>
      <bottom/>
    </border>
    <border>
      <left/>
      <right/>
      <top style="thin"/>
      <bottom style="thin"/>
    </border>
    <border>
      <left/>
      <right/>
      <top style="thin"/>
      <bottom/>
    </border>
    <border>
      <left/>
      <right/>
      <top/>
      <bottom style="double"/>
    </border>
    <border>
      <left style="thin"/>
      <right/>
      <top/>
      <bottom/>
    </border>
    <border>
      <left style="thin"/>
      <right/>
      <top/>
      <bottom style="thin"/>
    </border>
    <border>
      <left style="thin"/>
      <right/>
      <top/>
      <bottom style="double"/>
    </border>
    <border diagonalUp="1">
      <left style="thin"/>
      <right style="medium"/>
      <top style="thin"/>
      <bottom style="thin"/>
      <diagonal style="thin"/>
    </border>
    <border>
      <left style="medium"/>
      <right style="thin"/>
      <top style="medium"/>
      <bottom/>
    </border>
    <border>
      <left/>
      <right/>
      <top style="thin"/>
      <bottom style="medium"/>
    </border>
    <border diagonalUp="1">
      <left style="thin"/>
      <right style="medium"/>
      <top/>
      <bottom style="medium"/>
      <diagonal style="thin"/>
    </border>
    <border>
      <left style="thin"/>
      <right style="medium">
        <color indexed="12"/>
      </right>
      <top style="medium"/>
      <bottom style="medium"/>
    </border>
    <border diagonalUp="1">
      <left/>
      <right/>
      <top style="medium"/>
      <bottom style="medium"/>
      <diagonal style="thin"/>
    </border>
    <border>
      <left style="medium"/>
      <right/>
      <top/>
      <bottom style="medium"/>
    </border>
    <border diagonalUp="1">
      <left style="thin"/>
      <right style="thin"/>
      <top style="medium">
        <color indexed="12"/>
      </top>
      <bottom style="thin"/>
      <diagonal style="thin"/>
    </border>
    <border>
      <left style="thin"/>
      <right style="thin"/>
      <top style="medium">
        <color indexed="12"/>
      </top>
      <bottom style="thin"/>
    </border>
    <border diagonalUp="1">
      <left/>
      <right/>
      <top style="thin"/>
      <bottom/>
      <diagonal style="thin"/>
    </border>
    <border diagonalUp="1">
      <left style="thin"/>
      <right/>
      <top style="thin"/>
      <bottom style="thin"/>
      <diagonal style="thin"/>
    </border>
    <border diagonalUp="1">
      <left/>
      <right style="medium"/>
      <top style="thin"/>
      <bottom style="thin"/>
      <diagonal style="thin"/>
    </border>
    <border>
      <left style="medium"/>
      <right style="thin"/>
      <top style="thin"/>
      <bottom/>
    </border>
    <border diagonalUp="1">
      <left/>
      <right/>
      <top style="thin"/>
      <bottom style="thin"/>
      <diagonal style="thin"/>
    </border>
    <border diagonalUp="1">
      <left style="thin"/>
      <right style="thin"/>
      <top/>
      <bottom style="thin"/>
      <diagonal style="thin"/>
    </border>
    <border>
      <left style="thin"/>
      <right style="medium">
        <color indexed="17"/>
      </right>
      <top style="thin"/>
      <bottom style="thin"/>
    </border>
    <border>
      <left style="medium">
        <color indexed="17"/>
      </left>
      <right style="medium">
        <color indexed="17"/>
      </right>
      <top style="medium">
        <color indexed="17"/>
      </top>
      <bottom style="medium">
        <color indexed="17"/>
      </bottom>
    </border>
    <border diagonalUp="1">
      <left style="thin"/>
      <right style="thin"/>
      <top style="thin"/>
      <bottom/>
      <diagonal style="thin"/>
    </border>
    <border diagonalUp="1">
      <left/>
      <right/>
      <top/>
      <bottom/>
      <diagonal style="thin"/>
    </border>
    <border>
      <left style="medium"/>
      <right style="thin"/>
      <top style="thin"/>
      <bottom style="medium">
        <color indexed="12"/>
      </bottom>
    </border>
    <border diagonalUp="1">
      <left style="thin"/>
      <right/>
      <top/>
      <bottom style="thin"/>
      <diagonal style="thin"/>
    </border>
    <border>
      <left style="thin"/>
      <right style="medium">
        <color indexed="12"/>
      </right>
      <top style="thin"/>
      <bottom style="thin"/>
    </border>
    <border diagonalUp="1">
      <left style="thin"/>
      <right/>
      <top style="thin"/>
      <bottom/>
      <diagonal style="thin"/>
    </border>
    <border diagonalUp="1">
      <left/>
      <right style="thin"/>
      <top style="thin"/>
      <bottom style="thin"/>
      <diagonal style="thin"/>
    </border>
    <border>
      <left style="thin"/>
      <right style="medium">
        <color indexed="17"/>
      </right>
      <top style="thin"/>
      <bottom style="medium"/>
    </border>
    <border diagonalUp="1">
      <left/>
      <right style="thin"/>
      <top style="thin"/>
      <bottom style="medium"/>
      <diagonal style="thin"/>
    </border>
    <border diagonalUp="1">
      <left style="thin"/>
      <right style="thin"/>
      <top style="thin"/>
      <bottom style="medium"/>
      <diagonal style="thin"/>
    </border>
    <border>
      <left style="thin"/>
      <right/>
      <top style="medium"/>
      <bottom style="medium"/>
    </border>
    <border>
      <left/>
      <right style="medium"/>
      <top style="thin"/>
      <bottom style="medium"/>
    </border>
    <border diagonalUp="1">
      <left style="thin"/>
      <right style="thin"/>
      <top style="thin"/>
      <bottom style="thin"/>
      <diagonal style="hair"/>
    </border>
    <border>
      <left style="hair"/>
      <right style="hair"/>
      <top style="thin"/>
      <bottom style="thin"/>
    </border>
    <border>
      <left/>
      <right/>
      <top/>
      <bottom style="thin"/>
    </border>
    <border>
      <left style="thin"/>
      <right/>
      <top/>
      <bottom style="medium"/>
    </border>
    <border>
      <left style="thin"/>
      <right style="medium"/>
      <top style="medium"/>
      <bottom style="thin"/>
    </border>
    <border>
      <left style="thin"/>
      <right style="medium"/>
      <top style="thin"/>
      <bottom style="medium"/>
    </border>
    <border diagonalUp="1">
      <left style="thin"/>
      <right style="medium"/>
      <top style="thin"/>
      <bottom style="medium"/>
      <diagonal style="thin"/>
    </border>
    <border diagonalUp="1">
      <left style="thin"/>
      <right style="medium"/>
      <top/>
      <bottom style="thin"/>
      <diagonal style="thin"/>
    </border>
    <border>
      <left style="medium">
        <color rgb="FF0000FF"/>
      </left>
      <right style="medium">
        <color rgb="FF0000FF"/>
      </right>
      <top style="medium">
        <color rgb="FF0000FF"/>
      </top>
      <bottom style="medium">
        <color rgb="FF0000FF"/>
      </bottom>
    </border>
    <border>
      <left style="medium"/>
      <right/>
      <top style="medium"/>
      <bottom/>
    </border>
    <border>
      <left/>
      <right style="medium"/>
      <top style="medium"/>
      <bottom/>
    </border>
    <border>
      <left style="medium"/>
      <right style="medium"/>
      <top/>
      <bottom style="medium"/>
    </border>
    <border>
      <left style="medium"/>
      <right/>
      <top/>
      <bottom/>
    </border>
    <border>
      <left style="medium"/>
      <right style="thin"/>
      <top/>
      <bottom style="thin"/>
    </border>
    <border>
      <left style="thin"/>
      <right style="medium"/>
      <top style="thin"/>
      <bottom/>
    </border>
    <border>
      <left/>
      <right style="medium"/>
      <top/>
      <bottom/>
    </border>
    <border>
      <left style="medium"/>
      <right style="thin"/>
      <top/>
      <bottom/>
    </border>
    <border>
      <left style="thin"/>
      <right style="medium"/>
      <top/>
      <bottom/>
    </border>
    <border>
      <left style="thin"/>
      <right style="medium"/>
      <top/>
      <bottom style="medium"/>
    </border>
    <border diagonalUp="1">
      <left/>
      <right style="thin"/>
      <top style="thin"/>
      <bottom/>
      <diagonal style="thin"/>
    </border>
    <border diagonalUp="1">
      <left/>
      <right style="thin"/>
      <top/>
      <bottom style="thin"/>
      <diagonal style="thin"/>
    </border>
    <border>
      <left style="hair"/>
      <right/>
      <top style="thin"/>
      <bottom style="thin"/>
    </border>
    <border>
      <left style="medium">
        <color indexed="12"/>
      </left>
      <right style="medium">
        <color indexed="12"/>
      </right>
      <top style="medium">
        <color indexed="12"/>
      </top>
      <bottom/>
    </border>
    <border>
      <left style="medium">
        <color indexed="12"/>
      </left>
      <right style="medium">
        <color indexed="12"/>
      </right>
      <top/>
      <bottom/>
    </border>
    <border>
      <left style="medium">
        <color indexed="12"/>
      </left>
      <right style="medium">
        <color indexed="12"/>
      </right>
      <top/>
      <bottom style="medium">
        <color indexed="12"/>
      </bottom>
    </border>
    <border>
      <left style="medium">
        <color rgb="FF0000FF"/>
      </left>
      <right style="thin"/>
      <top style="medium">
        <color rgb="FF0000FF"/>
      </top>
      <bottom style="medium">
        <color rgb="FF0000FF"/>
      </bottom>
    </border>
    <border>
      <left style="thin"/>
      <right style="thin"/>
      <top style="medium">
        <color rgb="FF0000FF"/>
      </top>
      <bottom style="medium">
        <color rgb="FF0000FF"/>
      </bottom>
    </border>
    <border>
      <left style="thin"/>
      <right style="medium">
        <color rgb="FF0000FF"/>
      </right>
      <top style="medium">
        <color rgb="FF0000FF"/>
      </top>
      <bottom style="medium">
        <color rgb="FF0000FF"/>
      </bottom>
    </border>
    <border>
      <left/>
      <right/>
      <top style="double"/>
      <bottom style="double"/>
    </border>
    <border>
      <left/>
      <right style="thin"/>
      <top style="double"/>
      <bottom style="double"/>
    </border>
    <border>
      <left/>
      <right/>
      <top style="double"/>
      <bottom/>
    </border>
    <border>
      <left style="medium"/>
      <right/>
      <top style="medium"/>
      <bottom style="thin"/>
    </border>
    <border>
      <left style="medium"/>
      <right style="thin"/>
      <top/>
      <bottom style="double"/>
    </border>
    <border>
      <left/>
      <right style="thin"/>
      <top/>
      <bottom style="double"/>
    </border>
    <border>
      <left style="medium"/>
      <right style="thin"/>
      <top style="double"/>
      <bottom/>
    </border>
    <border>
      <left/>
      <right style="medium"/>
      <top/>
      <bottom style="thin"/>
    </border>
    <border>
      <left/>
      <right/>
      <top style="medium">
        <color indexed="12"/>
      </top>
      <bottom style="medium">
        <color indexed="12"/>
      </bottom>
    </border>
    <border>
      <left/>
      <right style="medium">
        <color indexed="12"/>
      </right>
      <top style="medium">
        <color indexed="12"/>
      </top>
      <bottom style="medium">
        <color indexed="12"/>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89" fillId="0" borderId="0">
      <alignment vertical="center"/>
      <protection/>
    </xf>
    <xf numFmtId="0" fontId="0" fillId="0" borderId="0">
      <alignment/>
      <protection/>
    </xf>
    <xf numFmtId="0" fontId="3" fillId="0" borderId="0">
      <alignment/>
      <protection/>
    </xf>
    <xf numFmtId="0" fontId="4" fillId="0" borderId="0">
      <alignment horizontal="distributed" vertical="center"/>
      <protection/>
    </xf>
    <xf numFmtId="1" fontId="5" fillId="0" borderId="0">
      <alignment/>
      <protection/>
    </xf>
    <xf numFmtId="0" fontId="0" fillId="0" borderId="0">
      <alignment/>
      <protection/>
    </xf>
    <xf numFmtId="0" fontId="105" fillId="32" borderId="0" applyNumberFormat="0" applyBorder="0" applyAlignment="0" applyProtection="0"/>
  </cellStyleXfs>
  <cellXfs count="884">
    <xf numFmtId="0" fontId="0" fillId="0" borderId="0" xfId="0" applyAlignment="1">
      <alignment vertical="center"/>
    </xf>
    <xf numFmtId="0" fontId="3" fillId="0" borderId="0" xfId="62" applyFill="1" applyBorder="1" applyAlignment="1">
      <alignment/>
      <protection/>
    </xf>
    <xf numFmtId="0" fontId="3" fillId="0" borderId="0" xfId="62" applyFill="1" applyBorder="1" applyAlignment="1">
      <alignment horizontal="center"/>
      <protection/>
    </xf>
    <xf numFmtId="0" fontId="3" fillId="0" borderId="0" xfId="62" applyFill="1" applyAlignment="1">
      <alignment/>
      <protection/>
    </xf>
    <xf numFmtId="0" fontId="3" fillId="0" borderId="0" xfId="62">
      <alignment/>
      <protection/>
    </xf>
    <xf numFmtId="0" fontId="6" fillId="0" borderId="10" xfId="62" applyFont="1" applyFill="1" applyBorder="1" applyAlignment="1">
      <alignment horizontal="distributed" vertical="center"/>
      <protection/>
    </xf>
    <xf numFmtId="0" fontId="3" fillId="0" borderId="11" xfId="62" applyFill="1" applyBorder="1" applyAlignment="1" applyProtection="1">
      <alignment horizontal="center"/>
      <protection locked="0"/>
    </xf>
    <xf numFmtId="0" fontId="7" fillId="0" borderId="0" xfId="62" applyFont="1" applyFill="1" applyBorder="1" applyAlignment="1">
      <alignment horizontal="left" vertical="center" wrapText="1"/>
      <protection/>
    </xf>
    <xf numFmtId="0" fontId="8" fillId="0" borderId="12" xfId="62" applyFont="1" applyFill="1" applyBorder="1" applyAlignment="1">
      <alignment horizontal="distributed" vertical="center" wrapText="1"/>
      <protection/>
    </xf>
    <xf numFmtId="176" fontId="9" fillId="0" borderId="13" xfId="62" applyNumberFormat="1" applyFont="1" applyFill="1" applyBorder="1" applyAlignment="1" applyProtection="1">
      <alignment horizontal="right" vertical="center"/>
      <protection locked="0"/>
    </xf>
    <xf numFmtId="0" fontId="10" fillId="0" borderId="0" xfId="62" applyFont="1" applyFill="1" applyBorder="1" applyAlignment="1">
      <alignment horizontal="distributed" vertical="center"/>
      <protection/>
    </xf>
    <xf numFmtId="0" fontId="6" fillId="0" borderId="0" xfId="62" applyFont="1" applyFill="1" applyBorder="1" applyAlignment="1">
      <alignment horizontal="distributed" vertical="center"/>
      <protection/>
    </xf>
    <xf numFmtId="0" fontId="3" fillId="0" borderId="0" xfId="62" applyFill="1" applyBorder="1" applyAlignment="1" applyProtection="1">
      <alignment horizontal="left"/>
      <protection locked="0"/>
    </xf>
    <xf numFmtId="0" fontId="6" fillId="0" borderId="0" xfId="62" applyFont="1" applyFill="1" applyBorder="1" applyAlignment="1">
      <alignment/>
      <protection/>
    </xf>
    <xf numFmtId="0" fontId="3" fillId="0" borderId="0" xfId="62" applyFill="1" applyBorder="1" applyAlignment="1">
      <alignment horizontal="distributed" vertical="center"/>
      <protection/>
    </xf>
    <xf numFmtId="0" fontId="12" fillId="0" borderId="14" xfId="62" applyFont="1" applyFill="1" applyBorder="1" applyAlignment="1" applyProtection="1">
      <alignment horizontal="distributed" vertical="center"/>
      <protection locked="0"/>
    </xf>
    <xf numFmtId="0" fontId="8" fillId="0" borderId="14" xfId="62" applyFont="1" applyFill="1" applyBorder="1" applyAlignment="1" applyProtection="1">
      <alignment horizontal="distributed" vertical="center"/>
      <protection locked="0"/>
    </xf>
    <xf numFmtId="0" fontId="3" fillId="0" borderId="0" xfId="62" applyFill="1" applyAlignment="1">
      <alignment horizontal="distributed" vertical="center"/>
      <protection/>
    </xf>
    <xf numFmtId="0" fontId="7" fillId="0" borderId="0" xfId="62" applyFont="1" applyFill="1" applyBorder="1" applyAlignment="1">
      <alignment vertical="center"/>
      <protection/>
    </xf>
    <xf numFmtId="0" fontId="7" fillId="0" borderId="0" xfId="62" applyFont="1" applyFill="1" applyBorder="1" applyAlignment="1">
      <alignment vertical="center" wrapText="1"/>
      <protection/>
    </xf>
    <xf numFmtId="0" fontId="14" fillId="0" borderId="13" xfId="62" applyFont="1" applyFill="1" applyBorder="1" applyAlignment="1" applyProtection="1">
      <alignment horizontal="distributed" vertical="center"/>
      <protection locked="0"/>
    </xf>
    <xf numFmtId="0" fontId="6" fillId="0" borderId="0" xfId="62" applyFont="1" applyFill="1" applyBorder="1" applyAlignment="1" applyProtection="1">
      <alignment horizontal="distributed" vertical="center"/>
      <protection locked="0"/>
    </xf>
    <xf numFmtId="0" fontId="3" fillId="0" borderId="15" xfId="62" applyFill="1" applyBorder="1" applyAlignment="1">
      <alignment horizontal="center"/>
      <protection/>
    </xf>
    <xf numFmtId="0" fontId="17" fillId="0" borderId="14" xfId="62" applyFont="1" applyFill="1" applyBorder="1" applyAlignment="1" quotePrefix="1">
      <alignment horizontal="distributed" vertical="center"/>
      <protection/>
    </xf>
    <xf numFmtId="0" fontId="6" fillId="0" borderId="14" xfId="62" applyFont="1" applyFill="1" applyBorder="1" applyAlignment="1">
      <alignment vertical="distributed" textRotation="255"/>
      <protection/>
    </xf>
    <xf numFmtId="0" fontId="16" fillId="0" borderId="16" xfId="62" applyFont="1" applyFill="1" applyBorder="1" applyAlignment="1">
      <alignment horizontal="center"/>
      <protection/>
    </xf>
    <xf numFmtId="0" fontId="6" fillId="0" borderId="16" xfId="62" applyNumberFormat="1" applyFont="1" applyFill="1" applyBorder="1" applyAlignment="1">
      <alignment horizontal="distributed" vertical="center"/>
      <protection/>
    </xf>
    <xf numFmtId="0" fontId="6" fillId="0" borderId="16" xfId="62" applyNumberFormat="1" applyFont="1" applyFill="1" applyBorder="1" applyAlignment="1">
      <alignment horizontal="distributed" vertical="center" wrapText="1"/>
      <protection/>
    </xf>
    <xf numFmtId="0" fontId="3" fillId="0" borderId="0" xfId="62" applyFill="1" applyBorder="1" applyAlignment="1" applyProtection="1">
      <alignment/>
      <protection locked="0"/>
    </xf>
    <xf numFmtId="0" fontId="3" fillId="0" borderId="16" xfId="62" applyFill="1" applyBorder="1" applyAlignment="1">
      <alignment horizontal="distributed" vertical="center"/>
      <protection/>
    </xf>
    <xf numFmtId="0" fontId="6" fillId="0" borderId="17" xfId="62" applyNumberFormat="1" applyFont="1" applyFill="1" applyBorder="1" applyAlignment="1">
      <alignment horizontal="distributed" vertical="center"/>
      <protection/>
    </xf>
    <xf numFmtId="0" fontId="6" fillId="0" borderId="17" xfId="62" applyNumberFormat="1" applyFont="1" applyFill="1" applyBorder="1" applyAlignment="1">
      <alignment horizontal="distributed" vertical="center" wrapText="1"/>
      <protection/>
    </xf>
    <xf numFmtId="0" fontId="6" fillId="0" borderId="16" xfId="62" applyFont="1" applyFill="1" applyBorder="1" applyAlignment="1">
      <alignment vertical="distributed" textRotation="255"/>
      <protection/>
    </xf>
    <xf numFmtId="0" fontId="6" fillId="0" borderId="16" xfId="62" applyFont="1" applyFill="1" applyBorder="1" applyAlignment="1">
      <alignment wrapText="1"/>
      <protection/>
    </xf>
    <xf numFmtId="0" fontId="6" fillId="0" borderId="16" xfId="62" applyFont="1" applyFill="1" applyBorder="1" applyAlignment="1">
      <alignment vertical="top" wrapText="1"/>
      <protection/>
    </xf>
    <xf numFmtId="0" fontId="12" fillId="0" borderId="12" xfId="62" applyFont="1" applyFill="1" applyBorder="1" applyAlignment="1">
      <alignment vertical="center"/>
      <protection/>
    </xf>
    <xf numFmtId="0" fontId="3" fillId="0" borderId="0" xfId="62" applyNumberFormat="1" applyFont="1" applyFill="1" applyAlignment="1">
      <alignment vertical="center" wrapText="1"/>
      <protection/>
    </xf>
    <xf numFmtId="0" fontId="3" fillId="0" borderId="0" xfId="62" applyNumberFormat="1" applyFont="1" applyFill="1" applyAlignment="1">
      <alignment vertical="center" textRotation="255" wrapText="1"/>
      <protection/>
    </xf>
    <xf numFmtId="0" fontId="20" fillId="0" borderId="0" xfId="62" applyNumberFormat="1" applyFont="1" applyFill="1" applyAlignment="1">
      <alignment vertical="center" textRotation="255" wrapText="1"/>
      <protection/>
    </xf>
    <xf numFmtId="0" fontId="20" fillId="0" borderId="0" xfId="62" applyNumberFormat="1" applyFont="1" applyFill="1" applyAlignment="1">
      <alignment horizontal="left" vertical="center" wrapText="1"/>
      <protection/>
    </xf>
    <xf numFmtId="0" fontId="3" fillId="0" borderId="0" xfId="62" applyNumberFormat="1" applyFont="1" applyFill="1" applyAlignment="1">
      <alignment vertical="center"/>
      <protection/>
    </xf>
    <xf numFmtId="0" fontId="20" fillId="0" borderId="0" xfId="62" applyNumberFormat="1" applyFont="1" applyFill="1" applyAlignment="1">
      <alignment vertical="center" wrapText="1"/>
      <protection/>
    </xf>
    <xf numFmtId="0" fontId="21" fillId="0" borderId="0" xfId="62" applyNumberFormat="1" applyFont="1" applyFill="1" applyAlignment="1">
      <alignment vertical="center"/>
      <protection/>
    </xf>
    <xf numFmtId="0" fontId="20" fillId="0" borderId="0" xfId="62" applyNumberFormat="1" applyFont="1" applyFill="1" applyAlignment="1">
      <alignment vertical="center"/>
      <protection/>
    </xf>
    <xf numFmtId="0" fontId="20" fillId="0" borderId="0" xfId="62" applyNumberFormat="1" applyFont="1" applyFill="1" applyBorder="1" applyAlignment="1">
      <alignment vertical="center" wrapText="1"/>
      <protection/>
    </xf>
    <xf numFmtId="49" fontId="22" fillId="0" borderId="18" xfId="62" applyNumberFormat="1" applyFont="1" applyFill="1" applyBorder="1" applyAlignment="1">
      <alignment horizontal="center" vertical="center" wrapText="1"/>
      <protection/>
    </xf>
    <xf numFmtId="0" fontId="20" fillId="0" borderId="0" xfId="62" applyNumberFormat="1" applyFont="1" applyFill="1" applyAlignment="1">
      <alignment horizontal="left" vertical="center" textRotation="255" wrapText="1"/>
      <protection/>
    </xf>
    <xf numFmtId="49" fontId="22" fillId="0" borderId="19" xfId="62" applyNumberFormat="1" applyFont="1" applyFill="1" applyBorder="1" applyAlignment="1">
      <alignment horizontal="center" vertical="center" wrapText="1"/>
      <protection/>
    </xf>
    <xf numFmtId="0" fontId="22" fillId="0" borderId="20" xfId="62" applyNumberFormat="1" applyFont="1" applyFill="1" applyBorder="1" applyAlignment="1">
      <alignment horizontal="left" vertical="center" wrapText="1"/>
      <protection/>
    </xf>
    <xf numFmtId="0" fontId="6" fillId="0" borderId="0" xfId="62" applyNumberFormat="1" applyFont="1" applyFill="1" applyBorder="1" applyAlignment="1">
      <alignment vertical="top" wrapText="1"/>
      <protection/>
    </xf>
    <xf numFmtId="178" fontId="20" fillId="0" borderId="21" xfId="62" applyNumberFormat="1" applyFont="1" applyFill="1" applyBorder="1" applyAlignment="1">
      <alignment horizontal="distributed" vertical="center" wrapText="1"/>
      <protection/>
    </xf>
    <xf numFmtId="177" fontId="3" fillId="0" borderId="22" xfId="62" applyNumberFormat="1" applyFont="1" applyFill="1" applyBorder="1" applyAlignment="1">
      <alignment vertical="center"/>
      <protection/>
    </xf>
    <xf numFmtId="38" fontId="3" fillId="0" borderId="23" xfId="48" applyFont="1" applyFill="1" applyBorder="1" applyAlignment="1">
      <alignment vertical="center"/>
    </xf>
    <xf numFmtId="177" fontId="3" fillId="0" borderId="23" xfId="62" applyNumberFormat="1" applyFont="1" applyFill="1" applyBorder="1" applyAlignment="1">
      <alignment vertical="center"/>
      <protection/>
    </xf>
    <xf numFmtId="38" fontId="3" fillId="0" borderId="24" xfId="48" applyFont="1" applyFill="1" applyBorder="1" applyAlignment="1">
      <alignment vertical="center"/>
    </xf>
    <xf numFmtId="38" fontId="3" fillId="0" borderId="13" xfId="48" applyFont="1" applyFill="1" applyBorder="1" applyAlignment="1" applyProtection="1">
      <alignment vertical="center"/>
      <protection locked="0"/>
    </xf>
    <xf numFmtId="38" fontId="3" fillId="0" borderId="25" xfId="48" applyFont="1" applyFill="1" applyBorder="1" applyAlignment="1">
      <alignment vertical="center"/>
    </xf>
    <xf numFmtId="178" fontId="20" fillId="0" borderId="26" xfId="62" applyNumberFormat="1" applyFont="1" applyFill="1" applyBorder="1" applyAlignment="1">
      <alignment horizontal="distributed" vertical="center" wrapText="1"/>
      <protection/>
    </xf>
    <xf numFmtId="177" fontId="3" fillId="0" borderId="27" xfId="62" applyNumberFormat="1" applyFont="1" applyFill="1" applyBorder="1" applyAlignment="1">
      <alignment vertical="center"/>
      <protection/>
    </xf>
    <xf numFmtId="38" fontId="3" fillId="0" borderId="28" xfId="48" applyFont="1" applyFill="1" applyBorder="1" applyAlignment="1">
      <alignment vertical="center"/>
    </xf>
    <xf numFmtId="38" fontId="3" fillId="0" borderId="16" xfId="48" applyFont="1" applyFill="1" applyBorder="1" applyAlignment="1">
      <alignment vertical="center"/>
    </xf>
    <xf numFmtId="177" fontId="3" fillId="0" borderId="16" xfId="62" applyNumberFormat="1" applyFont="1" applyFill="1" applyBorder="1" applyAlignment="1">
      <alignment vertical="center"/>
      <protection/>
    </xf>
    <xf numFmtId="38" fontId="3" fillId="0" borderId="29" xfId="48" applyFont="1" applyFill="1" applyBorder="1" applyAlignment="1">
      <alignment vertical="center"/>
    </xf>
    <xf numFmtId="38" fontId="3" fillId="0" borderId="30" xfId="48" applyFont="1" applyFill="1" applyBorder="1" applyAlignment="1">
      <alignment vertical="center"/>
    </xf>
    <xf numFmtId="178" fontId="20" fillId="0" borderId="31" xfId="62" applyNumberFormat="1" applyFont="1" applyFill="1" applyBorder="1" applyAlignment="1">
      <alignment horizontal="distributed" vertical="center" wrapText="1"/>
      <protection/>
    </xf>
    <xf numFmtId="177" fontId="3" fillId="0" borderId="32" xfId="62" applyNumberFormat="1" applyFont="1" applyFill="1" applyBorder="1" applyAlignment="1">
      <alignment vertical="center"/>
      <protection/>
    </xf>
    <xf numFmtId="38" fontId="3" fillId="0" borderId="20" xfId="48" applyFont="1" applyFill="1" applyBorder="1" applyAlignment="1">
      <alignment vertical="center"/>
    </xf>
    <xf numFmtId="177" fontId="3" fillId="0" borderId="20" xfId="62" applyNumberFormat="1" applyFont="1" applyFill="1" applyBorder="1" applyAlignment="1">
      <alignment vertical="center"/>
      <protection/>
    </xf>
    <xf numFmtId="38" fontId="3" fillId="0" borderId="33" xfId="48" applyFont="1" applyFill="1" applyBorder="1" applyAlignment="1">
      <alignment vertical="center"/>
    </xf>
    <xf numFmtId="178" fontId="22" fillId="0" borderId="34" xfId="62" applyNumberFormat="1" applyFont="1" applyFill="1" applyBorder="1" applyAlignment="1">
      <alignment horizontal="distributed" vertical="center" wrapText="1"/>
      <protection/>
    </xf>
    <xf numFmtId="177" fontId="3" fillId="0" borderId="35" xfId="62" applyNumberFormat="1" applyFont="1" applyFill="1" applyBorder="1" applyAlignment="1">
      <alignment vertical="center"/>
      <protection/>
    </xf>
    <xf numFmtId="38" fontId="3" fillId="0" borderId="36" xfId="48" applyFont="1" applyFill="1" applyBorder="1" applyAlignment="1" applyProtection="1">
      <alignment vertical="center" wrapText="1"/>
      <protection locked="0"/>
    </xf>
    <xf numFmtId="38" fontId="3" fillId="0" borderId="37" xfId="48" applyFont="1" applyFill="1" applyBorder="1" applyAlignment="1" applyProtection="1">
      <alignment vertical="center" wrapText="1"/>
      <protection locked="0"/>
    </xf>
    <xf numFmtId="177" fontId="3" fillId="0" borderId="37" xfId="62" applyNumberFormat="1" applyFont="1" applyFill="1" applyBorder="1" applyAlignment="1">
      <alignment vertical="center"/>
      <protection/>
    </xf>
    <xf numFmtId="38" fontId="3" fillId="0" borderId="38" xfId="48" applyFont="1" applyFill="1" applyBorder="1" applyAlignment="1">
      <alignment vertical="center"/>
    </xf>
    <xf numFmtId="38" fontId="23" fillId="0" borderId="29" xfId="48" applyFont="1" applyFill="1" applyBorder="1" applyAlignment="1">
      <alignment vertical="center" wrapText="1"/>
    </xf>
    <xf numFmtId="38" fontId="23" fillId="0" borderId="39" xfId="48" applyFont="1" applyFill="1" applyBorder="1" applyAlignment="1">
      <alignment vertical="center" wrapText="1"/>
    </xf>
    <xf numFmtId="38" fontId="3" fillId="0" borderId="36" xfId="48" applyFont="1" applyFill="1" applyBorder="1" applyAlignment="1" applyProtection="1">
      <alignment horizontal="center" vertical="center" wrapText="1"/>
      <protection locked="0"/>
    </xf>
    <xf numFmtId="38" fontId="23" fillId="0" borderId="40" xfId="48" applyFont="1" applyFill="1" applyBorder="1" applyAlignment="1">
      <alignment vertical="center" wrapText="1"/>
    </xf>
    <xf numFmtId="38" fontId="23" fillId="0" borderId="41" xfId="48" applyFont="1" applyFill="1" applyBorder="1" applyAlignment="1">
      <alignment vertical="center" wrapText="1"/>
    </xf>
    <xf numFmtId="38" fontId="23" fillId="0" borderId="36" xfId="48" applyFont="1" applyFill="1" applyBorder="1" applyAlignment="1">
      <alignment vertical="center" wrapText="1"/>
    </xf>
    <xf numFmtId="38" fontId="23" fillId="0" borderId="42" xfId="48" applyFont="1" applyFill="1" applyBorder="1" applyAlignment="1">
      <alignment vertical="center" wrapText="1"/>
    </xf>
    <xf numFmtId="0" fontId="22" fillId="0" borderId="43" xfId="62" applyNumberFormat="1" applyFont="1" applyFill="1" applyBorder="1" applyAlignment="1">
      <alignment horizontal="distributed" vertical="center" wrapText="1"/>
      <protection/>
    </xf>
    <xf numFmtId="38" fontId="3" fillId="0" borderId="44" xfId="48" applyFont="1" applyFill="1" applyBorder="1" applyAlignment="1">
      <alignment vertical="center"/>
    </xf>
    <xf numFmtId="38" fontId="3" fillId="0" borderId="14" xfId="48" applyFont="1" applyFill="1" applyBorder="1" applyAlignment="1">
      <alignment vertical="center"/>
    </xf>
    <xf numFmtId="38" fontId="23" fillId="0" borderId="10" xfId="48" applyFont="1" applyFill="1" applyBorder="1" applyAlignment="1">
      <alignment vertical="center" wrapText="1"/>
    </xf>
    <xf numFmtId="38" fontId="23" fillId="0" borderId="45" xfId="48" applyFont="1" applyFill="1" applyBorder="1" applyAlignment="1">
      <alignment vertical="center" wrapText="1"/>
    </xf>
    <xf numFmtId="0" fontId="22" fillId="0" borderId="0" xfId="62" applyNumberFormat="1" applyFont="1" applyFill="1" applyBorder="1" applyAlignment="1">
      <alignment horizontal="center" vertical="center" textRotation="255" wrapText="1"/>
      <protection/>
    </xf>
    <xf numFmtId="178" fontId="22" fillId="0" borderId="0" xfId="62" applyNumberFormat="1" applyFont="1" applyFill="1" applyBorder="1" applyAlignment="1">
      <alignment horizontal="distributed" vertical="center" wrapText="1"/>
      <protection/>
    </xf>
    <xf numFmtId="38" fontId="3" fillId="0" borderId="0" xfId="48" applyFont="1" applyFill="1" applyBorder="1" applyAlignment="1">
      <alignment vertical="center"/>
    </xf>
    <xf numFmtId="38" fontId="3" fillId="0" borderId="0" xfId="48" applyFont="1" applyFill="1" applyBorder="1" applyAlignment="1">
      <alignment/>
    </xf>
    <xf numFmtId="38" fontId="23" fillId="0" borderId="0" xfId="48" applyFont="1" applyFill="1" applyBorder="1" applyAlignment="1">
      <alignment vertical="center" wrapText="1"/>
    </xf>
    <xf numFmtId="38" fontId="23" fillId="0" borderId="15" xfId="48" applyFont="1" applyFill="1" applyBorder="1" applyAlignment="1">
      <alignment vertical="center" wrapText="1"/>
    </xf>
    <xf numFmtId="178" fontId="22" fillId="0" borderId="23" xfId="62" applyNumberFormat="1" applyFont="1" applyFill="1" applyBorder="1" applyAlignment="1">
      <alignment horizontal="left" vertical="center" wrapText="1"/>
      <protection/>
    </xf>
    <xf numFmtId="38" fontId="3" fillId="0" borderId="40" xfId="48" applyFont="1" applyFill="1" applyBorder="1" applyAlignment="1" applyProtection="1">
      <alignment vertical="center" wrapText="1"/>
      <protection locked="0"/>
    </xf>
    <xf numFmtId="38" fontId="3" fillId="0" borderId="46" xfId="48" applyFont="1" applyFill="1" applyBorder="1" applyAlignment="1" applyProtection="1">
      <alignment vertical="center" wrapText="1"/>
      <protection locked="0"/>
    </xf>
    <xf numFmtId="38" fontId="3" fillId="0" borderId="47" xfId="48" applyFont="1" applyFill="1" applyBorder="1" applyAlignment="1">
      <alignment vertical="center"/>
    </xf>
    <xf numFmtId="38" fontId="3" fillId="0" borderId="48" xfId="48" applyFont="1" applyFill="1" applyBorder="1" applyAlignment="1">
      <alignment vertical="center"/>
    </xf>
    <xf numFmtId="0" fontId="3" fillId="0" borderId="0" xfId="62" applyNumberFormat="1" applyFont="1" applyFill="1" applyBorder="1" applyAlignment="1">
      <alignment vertical="center" wrapText="1"/>
      <protection/>
    </xf>
    <xf numFmtId="0" fontId="22" fillId="0" borderId="49" xfId="62" applyNumberFormat="1" applyFont="1" applyFill="1" applyBorder="1" applyAlignment="1">
      <alignment vertical="center" wrapText="1"/>
      <protection/>
    </xf>
    <xf numFmtId="0" fontId="22" fillId="0" borderId="14" xfId="62" applyNumberFormat="1" applyFont="1" applyFill="1" applyBorder="1" applyAlignment="1">
      <alignment horizontal="distributed" vertical="center" wrapText="1"/>
      <protection/>
    </xf>
    <xf numFmtId="0" fontId="22" fillId="0" borderId="15" xfId="62" applyNumberFormat="1" applyFont="1" applyFill="1" applyBorder="1" applyAlignment="1">
      <alignment horizontal="center" vertical="center" textRotation="255" wrapText="1"/>
      <protection/>
    </xf>
    <xf numFmtId="0" fontId="22" fillId="0" borderId="0" xfId="62" applyNumberFormat="1" applyFont="1" applyFill="1" applyBorder="1" applyAlignment="1">
      <alignment horizontal="distributed" vertical="center" wrapText="1"/>
      <protection/>
    </xf>
    <xf numFmtId="38" fontId="24" fillId="0" borderId="0" xfId="48" applyFont="1" applyFill="1" applyBorder="1" applyAlignment="1">
      <alignment horizontal="center" vertical="center" wrapText="1"/>
    </xf>
    <xf numFmtId="0" fontId="3" fillId="0" borderId="0" xfId="62" applyNumberFormat="1" applyFont="1" applyFill="1" applyBorder="1" applyAlignment="1">
      <alignment vertical="center" textRotation="255" wrapText="1"/>
      <protection/>
    </xf>
    <xf numFmtId="0" fontId="20" fillId="0" borderId="0" xfId="62" applyNumberFormat="1" applyFont="1" applyFill="1" applyBorder="1" applyAlignment="1">
      <alignment horizontal="distributed" vertical="center" wrapText="1"/>
      <protection/>
    </xf>
    <xf numFmtId="49" fontId="22" fillId="0" borderId="50" xfId="62" applyNumberFormat="1" applyFont="1" applyFill="1" applyBorder="1" applyAlignment="1">
      <alignment horizontal="center" vertical="center" wrapText="1"/>
      <protection/>
    </xf>
    <xf numFmtId="49" fontId="22" fillId="0" borderId="51" xfId="62" applyNumberFormat="1" applyFont="1" applyFill="1" applyBorder="1" applyAlignment="1">
      <alignment horizontal="center" vertical="center" wrapText="1"/>
      <protection/>
    </xf>
    <xf numFmtId="0" fontId="22" fillId="0" borderId="16" xfId="62" applyNumberFormat="1" applyFont="1" applyFill="1" applyBorder="1" applyAlignment="1">
      <alignment horizontal="left" vertical="center" wrapText="1"/>
      <protection/>
    </xf>
    <xf numFmtId="0" fontId="22" fillId="0" borderId="52" xfId="62" applyNumberFormat="1" applyFont="1" applyFill="1" applyBorder="1" applyAlignment="1">
      <alignment horizontal="center" vertical="center" wrapText="1"/>
      <protection/>
    </xf>
    <xf numFmtId="178" fontId="22" fillId="0" borderId="53" xfId="62" applyNumberFormat="1" applyFont="1" applyFill="1" applyBorder="1" applyAlignment="1">
      <alignment horizontal="distributed" vertical="center" wrapText="1"/>
      <protection/>
    </xf>
    <xf numFmtId="38" fontId="3" fillId="0" borderId="37" xfId="48" applyFont="1" applyFill="1" applyBorder="1" applyAlignment="1">
      <alignment vertical="center"/>
    </xf>
    <xf numFmtId="38" fontId="3" fillId="0" borderId="36" xfId="48" applyFont="1" applyFill="1" applyBorder="1" applyAlignment="1">
      <alignment vertical="center"/>
    </xf>
    <xf numFmtId="178" fontId="22" fillId="0" borderId="54" xfId="62" applyNumberFormat="1" applyFont="1" applyFill="1" applyBorder="1" applyAlignment="1">
      <alignment horizontal="distributed" vertical="center" wrapText="1"/>
      <protection/>
    </xf>
    <xf numFmtId="178" fontId="22" fillId="0" borderId="55" xfId="62" applyNumberFormat="1" applyFont="1" applyFill="1" applyBorder="1" applyAlignment="1">
      <alignment horizontal="distributed" vertical="center" wrapText="1"/>
      <protection/>
    </xf>
    <xf numFmtId="0" fontId="20" fillId="0" borderId="55" xfId="62" applyNumberFormat="1" applyFont="1" applyFill="1" applyBorder="1" applyAlignment="1">
      <alignment horizontal="distributed" vertical="center" wrapText="1"/>
      <protection/>
    </xf>
    <xf numFmtId="0" fontId="3" fillId="0" borderId="0" xfId="62" applyNumberFormat="1" applyFont="1" applyFill="1" applyBorder="1" applyAlignment="1">
      <alignment horizontal="center" vertical="distributed" textRotation="255"/>
      <protection/>
    </xf>
    <xf numFmtId="0" fontId="20" fillId="0" borderId="0" xfId="62" applyNumberFormat="1" applyFont="1" applyFill="1" applyBorder="1" applyAlignment="1">
      <alignment horizontal="left" vertical="center" wrapText="1"/>
      <protection/>
    </xf>
    <xf numFmtId="0" fontId="22" fillId="0" borderId="16" xfId="62" applyNumberFormat="1" applyFont="1" applyFill="1" applyBorder="1" applyAlignment="1">
      <alignment vertical="center" wrapText="1"/>
      <protection/>
    </xf>
    <xf numFmtId="0" fontId="3" fillId="0" borderId="0" xfId="62" applyFont="1" applyFill="1">
      <alignment/>
      <protection/>
    </xf>
    <xf numFmtId="0" fontId="12" fillId="0" borderId="10" xfId="62" applyNumberFormat="1" applyFont="1" applyFill="1" applyBorder="1" applyAlignment="1">
      <alignment horizontal="center" vertical="center" wrapText="1"/>
      <protection/>
    </xf>
    <xf numFmtId="0" fontId="3" fillId="0" borderId="0" xfId="62" applyNumberFormat="1" applyFont="1" applyFill="1" applyAlignment="1">
      <alignment horizontal="left" vertical="center" wrapText="1"/>
      <protection/>
    </xf>
    <xf numFmtId="177" fontId="3" fillId="0" borderId="51" xfId="62" applyNumberFormat="1" applyFont="1" applyFill="1" applyBorder="1" applyAlignment="1">
      <alignment/>
      <protection/>
    </xf>
    <xf numFmtId="177" fontId="3" fillId="0" borderId="56" xfId="62" applyNumberFormat="1" applyFont="1" applyFill="1" applyBorder="1" applyAlignment="1">
      <alignment vertical="center"/>
      <protection/>
    </xf>
    <xf numFmtId="178" fontId="3" fillId="0" borderId="16" xfId="62" applyNumberFormat="1" applyFont="1" applyFill="1" applyBorder="1" applyAlignment="1">
      <alignment vertical="center"/>
      <protection/>
    </xf>
    <xf numFmtId="177" fontId="3" fillId="0" borderId="16" xfId="62" applyNumberFormat="1" applyFont="1" applyFill="1" applyBorder="1" applyAlignment="1">
      <alignment/>
      <protection/>
    </xf>
    <xf numFmtId="177" fontId="3" fillId="0" borderId="57" xfId="62" applyNumberFormat="1" applyFont="1" applyFill="1" applyBorder="1" applyAlignment="1">
      <alignment horizontal="right"/>
      <protection/>
    </xf>
    <xf numFmtId="177" fontId="3" fillId="0" borderId="57" xfId="62" applyNumberFormat="1" applyFont="1" applyFill="1" applyBorder="1" applyAlignment="1">
      <alignment vertical="center"/>
      <protection/>
    </xf>
    <xf numFmtId="38" fontId="3" fillId="0" borderId="49" xfId="48" applyFont="1" applyFill="1" applyBorder="1" applyAlignment="1">
      <alignment/>
    </xf>
    <xf numFmtId="38" fontId="3" fillId="0" borderId="58" xfId="48" applyFont="1" applyFill="1" applyBorder="1" applyAlignment="1">
      <alignment/>
    </xf>
    <xf numFmtId="0" fontId="6" fillId="0" borderId="12" xfId="62" applyNumberFormat="1" applyFont="1" applyFill="1" applyBorder="1" applyAlignment="1">
      <alignment horizontal="distributed" vertical="center" wrapText="1"/>
      <protection/>
    </xf>
    <xf numFmtId="178" fontId="6" fillId="0" borderId="35" xfId="62" applyNumberFormat="1" applyFont="1" applyFill="1" applyBorder="1" applyAlignment="1">
      <alignment horizontal="distributed" vertical="center"/>
      <protection/>
    </xf>
    <xf numFmtId="38" fontId="3" fillId="0" borderId="14" xfId="48" applyFont="1" applyFill="1" applyBorder="1" applyAlignment="1">
      <alignment/>
    </xf>
    <xf numFmtId="0" fontId="6" fillId="0" borderId="10" xfId="62" applyNumberFormat="1" applyFont="1" applyFill="1" applyBorder="1" applyAlignment="1">
      <alignment vertical="center" textRotation="255" wrapText="1"/>
      <protection/>
    </xf>
    <xf numFmtId="0" fontId="3" fillId="0" borderId="14" xfId="62" applyNumberFormat="1" applyFont="1" applyFill="1" applyBorder="1" applyAlignment="1">
      <alignment vertical="center" wrapText="1"/>
      <protection/>
    </xf>
    <xf numFmtId="178" fontId="3" fillId="0" borderId="16" xfId="62" applyNumberFormat="1" applyFont="1" applyFill="1" applyBorder="1" applyAlignment="1">
      <alignment/>
      <protection/>
    </xf>
    <xf numFmtId="178" fontId="28" fillId="0" borderId="12" xfId="62" applyNumberFormat="1" applyFont="1" applyFill="1" applyBorder="1" applyAlignment="1">
      <alignment horizontal="distributed" vertical="center" wrapText="1"/>
      <protection/>
    </xf>
    <xf numFmtId="177" fontId="3" fillId="0" borderId="37" xfId="62" applyNumberFormat="1" applyFont="1" applyFill="1" applyBorder="1" applyAlignment="1">
      <alignment horizontal="right"/>
      <protection/>
    </xf>
    <xf numFmtId="177" fontId="3" fillId="0" borderId="35" xfId="62" applyNumberFormat="1" applyFont="1" applyFill="1" applyBorder="1" applyAlignment="1">
      <alignment horizontal="right"/>
      <protection/>
    </xf>
    <xf numFmtId="177" fontId="3" fillId="0" borderId="38" xfId="62" applyNumberFormat="1" applyFont="1" applyFill="1" applyBorder="1" applyAlignment="1">
      <alignment horizontal="right"/>
      <protection/>
    </xf>
    <xf numFmtId="178" fontId="6" fillId="0" borderId="59" xfId="62" applyNumberFormat="1" applyFont="1" applyFill="1" applyBorder="1" applyAlignment="1">
      <alignment horizontal="distributed" wrapText="1"/>
      <protection/>
    </xf>
    <xf numFmtId="177" fontId="3" fillId="0" borderId="60" xfId="62" applyNumberFormat="1" applyFont="1" applyFill="1" applyBorder="1" applyAlignment="1">
      <alignment horizontal="right"/>
      <protection/>
    </xf>
    <xf numFmtId="177" fontId="3" fillId="0" borderId="61" xfId="62" applyNumberFormat="1" applyFont="1" applyFill="1" applyBorder="1" applyAlignment="1">
      <alignment horizontal="right"/>
      <protection/>
    </xf>
    <xf numFmtId="178" fontId="6" fillId="0" borderId="0" xfId="62" applyNumberFormat="1" applyFont="1" applyFill="1" applyBorder="1" applyAlignment="1">
      <alignment horizontal="distributed" wrapText="1"/>
      <protection/>
    </xf>
    <xf numFmtId="177" fontId="3" fillId="0" borderId="0" xfId="62" applyNumberFormat="1" applyFont="1" applyFill="1" applyBorder="1" applyAlignment="1" quotePrefix="1">
      <alignment horizontal="right"/>
      <protection/>
    </xf>
    <xf numFmtId="177" fontId="3" fillId="0" borderId="0" xfId="62" applyNumberFormat="1" applyFont="1" applyFill="1" applyBorder="1" applyAlignment="1">
      <alignment horizontal="right"/>
      <protection/>
    </xf>
    <xf numFmtId="178" fontId="28" fillId="0" borderId="14" xfId="62" applyNumberFormat="1" applyFont="1" applyFill="1" applyBorder="1" applyAlignment="1">
      <alignment horizontal="distributed" vertical="center" wrapText="1"/>
      <protection/>
    </xf>
    <xf numFmtId="177" fontId="3" fillId="0" borderId="37" xfId="62" applyNumberFormat="1" applyFont="1" applyFill="1" applyBorder="1" applyAlignment="1">
      <alignment/>
      <protection/>
    </xf>
    <xf numFmtId="177" fontId="3" fillId="0" borderId="35" xfId="62" applyNumberFormat="1" applyFont="1" applyFill="1" applyBorder="1" applyAlignment="1">
      <alignment/>
      <protection/>
    </xf>
    <xf numFmtId="178" fontId="28" fillId="0" borderId="14" xfId="62" applyNumberFormat="1" applyFont="1" applyFill="1" applyBorder="1" applyAlignment="1">
      <alignment horizontal="left" vertical="center" wrapText="1"/>
      <protection/>
    </xf>
    <xf numFmtId="178" fontId="6" fillId="0" borderId="34" xfId="62" applyNumberFormat="1" applyFont="1" applyFill="1" applyBorder="1" applyAlignment="1">
      <alignment vertical="center" wrapText="1"/>
      <protection/>
    </xf>
    <xf numFmtId="38" fontId="3" fillId="0" borderId="37" xfId="48" applyFont="1" applyFill="1" applyBorder="1" applyAlignment="1">
      <alignment horizontal="right"/>
    </xf>
    <xf numFmtId="178" fontId="3" fillId="0" borderId="0" xfId="62" applyNumberFormat="1" applyFont="1" applyFill="1" applyAlignment="1">
      <alignment vertical="center" wrapText="1"/>
      <protection/>
    </xf>
    <xf numFmtId="178" fontId="3" fillId="0" borderId="0" xfId="62" applyNumberFormat="1" applyFont="1" applyFill="1" applyAlignment="1">
      <alignment vertical="center"/>
      <protection/>
    </xf>
    <xf numFmtId="0" fontId="3" fillId="0" borderId="0" xfId="62" applyFill="1" applyBorder="1">
      <alignment/>
      <protection/>
    </xf>
    <xf numFmtId="0" fontId="3" fillId="0" borderId="0" xfId="62" applyFill="1" applyAlignment="1">
      <alignment horizontal="center" vertical="center"/>
      <protection/>
    </xf>
    <xf numFmtId="0" fontId="3" fillId="0" borderId="0" xfId="62" applyFill="1" applyBorder="1" applyAlignment="1">
      <alignment wrapText="1"/>
      <protection/>
    </xf>
    <xf numFmtId="0" fontId="3" fillId="0" borderId="0" xfId="62" applyFill="1">
      <alignment/>
      <protection/>
    </xf>
    <xf numFmtId="0" fontId="3" fillId="0" borderId="16" xfId="62" applyFill="1" applyBorder="1" applyAlignment="1">
      <alignment horizontal="center" vertical="center" wrapText="1"/>
      <protection/>
    </xf>
    <xf numFmtId="0" fontId="3" fillId="0" borderId="0" xfId="62" applyAlignment="1">
      <alignment horizontal="center" vertical="center"/>
      <protection/>
    </xf>
    <xf numFmtId="0" fontId="6" fillId="0" borderId="16" xfId="62" applyFont="1" applyFill="1" applyBorder="1" applyAlignment="1">
      <alignment horizontal="distributed" vertical="center" wrapText="1"/>
      <protection/>
    </xf>
    <xf numFmtId="38" fontId="3" fillId="0" borderId="16" xfId="48" applyFont="1" applyFill="1" applyBorder="1" applyAlignment="1">
      <alignment/>
    </xf>
    <xf numFmtId="0" fontId="6" fillId="0" borderId="17" xfId="62" applyFont="1" applyFill="1" applyBorder="1" applyAlignment="1">
      <alignment/>
      <protection/>
    </xf>
    <xf numFmtId="0" fontId="6" fillId="0" borderId="27" xfId="62" applyFont="1" applyFill="1" applyBorder="1" applyAlignment="1">
      <alignment/>
      <protection/>
    </xf>
    <xf numFmtId="0" fontId="3" fillId="0" borderId="16" xfId="62" applyFill="1" applyBorder="1" applyAlignment="1">
      <alignment/>
      <protection/>
    </xf>
    <xf numFmtId="178" fontId="6" fillId="0" borderId="22" xfId="62" applyNumberFormat="1" applyFont="1" applyFill="1" applyBorder="1" applyAlignment="1">
      <alignment horizontal="distributed" vertical="center"/>
      <protection/>
    </xf>
    <xf numFmtId="178" fontId="6" fillId="0" borderId="27" xfId="62" applyNumberFormat="1" applyFont="1" applyFill="1" applyBorder="1" applyAlignment="1">
      <alignment horizontal="distributed" vertical="center"/>
      <protection/>
    </xf>
    <xf numFmtId="178" fontId="6" fillId="0" borderId="62" xfId="62" applyNumberFormat="1" applyFont="1" applyFill="1" applyBorder="1" applyAlignment="1">
      <alignment horizontal="distributed" vertical="center" wrapText="1"/>
      <protection/>
    </xf>
    <xf numFmtId="0" fontId="6" fillId="0" borderId="12" xfId="62" applyNumberFormat="1" applyFont="1" applyFill="1" applyBorder="1" applyAlignment="1">
      <alignment horizontal="center" vertical="center" wrapText="1"/>
      <protection/>
    </xf>
    <xf numFmtId="0" fontId="3" fillId="0" borderId="0" xfId="62" applyFill="1" applyBorder="1" applyAlignment="1">
      <alignment horizontal="center" vertical="center"/>
      <protection/>
    </xf>
    <xf numFmtId="0" fontId="3" fillId="0" borderId="0" xfId="62" applyAlignment="1">
      <alignment wrapText="1"/>
      <protection/>
    </xf>
    <xf numFmtId="0" fontId="3" fillId="0" borderId="0" xfId="62" applyAlignment="1">
      <alignment/>
      <protection/>
    </xf>
    <xf numFmtId="0" fontId="3" fillId="0" borderId="0" xfId="62" applyAlignment="1">
      <alignment horizontal="center"/>
      <protection/>
    </xf>
    <xf numFmtId="38" fontId="3" fillId="0" borderId="0" xfId="48" applyFont="1" applyFill="1" applyAlignment="1">
      <alignment/>
    </xf>
    <xf numFmtId="0" fontId="29" fillId="0" borderId="0" xfId="62" applyFont="1" applyFill="1">
      <alignment/>
      <protection/>
    </xf>
    <xf numFmtId="0" fontId="30" fillId="0" borderId="0" xfId="62" applyFont="1" applyFill="1">
      <alignment/>
      <protection/>
    </xf>
    <xf numFmtId="0" fontId="30" fillId="0" borderId="0" xfId="62" applyFont="1" applyFill="1" applyAlignment="1">
      <alignment horizontal="center" vertical="center"/>
      <protection/>
    </xf>
    <xf numFmtId="0" fontId="6" fillId="0" borderId="16" xfId="62" applyFont="1" applyFill="1" applyBorder="1" applyAlignment="1">
      <alignment vertical="center" wrapText="1"/>
      <protection/>
    </xf>
    <xf numFmtId="0" fontId="3" fillId="0" borderId="16" xfId="62" applyFill="1" applyBorder="1" applyAlignment="1">
      <alignment vertical="center"/>
      <protection/>
    </xf>
    <xf numFmtId="0" fontId="3" fillId="0" borderId="17" xfId="62" applyFill="1" applyBorder="1" applyAlignment="1">
      <alignment vertical="center"/>
      <protection/>
    </xf>
    <xf numFmtId="38" fontId="3" fillId="0" borderId="51" xfId="48" applyFont="1" applyFill="1" applyBorder="1" applyAlignment="1">
      <alignment vertical="center"/>
    </xf>
    <xf numFmtId="0" fontId="3" fillId="0" borderId="16" xfId="62" applyFill="1" applyBorder="1">
      <alignment/>
      <protection/>
    </xf>
    <xf numFmtId="0" fontId="3" fillId="0" borderId="17" xfId="62" applyFill="1" applyBorder="1" applyAlignment="1">
      <alignment horizontal="center"/>
      <protection/>
    </xf>
    <xf numFmtId="38" fontId="3" fillId="0" borderId="0" xfId="48" applyFont="1" applyAlignment="1">
      <alignment/>
    </xf>
    <xf numFmtId="0" fontId="6" fillId="0" borderId="16" xfId="62" applyFont="1" applyFill="1" applyBorder="1" applyAlignment="1">
      <alignment horizontal="center" vertical="center"/>
      <protection/>
    </xf>
    <xf numFmtId="0" fontId="33" fillId="0" borderId="0" xfId="62" applyFont="1" applyFill="1" applyBorder="1">
      <alignment/>
      <protection/>
    </xf>
    <xf numFmtId="0" fontId="3" fillId="33" borderId="0" xfId="62" applyFill="1">
      <alignment/>
      <protection/>
    </xf>
    <xf numFmtId="0" fontId="3" fillId="33" borderId="0" xfId="62" applyFill="1" applyBorder="1" applyAlignment="1">
      <alignment horizontal="left" vertical="top" textRotation="255" wrapText="1"/>
      <protection/>
    </xf>
    <xf numFmtId="0" fontId="3" fillId="33" borderId="0" xfId="62" applyFill="1" applyBorder="1">
      <alignment/>
      <protection/>
    </xf>
    <xf numFmtId="38" fontId="3" fillId="33" borderId="0" xfId="48" applyFont="1" applyFill="1" applyBorder="1" applyAlignment="1">
      <alignment/>
    </xf>
    <xf numFmtId="0" fontId="3" fillId="0" borderId="0" xfId="62" applyFill="1" applyAlignment="1">
      <alignment horizontal="left" vertical="top" textRotation="255" wrapText="1"/>
      <protection/>
    </xf>
    <xf numFmtId="0" fontId="3" fillId="0" borderId="0" xfId="62" applyFill="1" applyBorder="1" applyAlignment="1">
      <alignment vertical="center" wrapText="1"/>
      <protection/>
    </xf>
    <xf numFmtId="0" fontId="6" fillId="0" borderId="16" xfId="62" applyFont="1" applyFill="1" applyBorder="1">
      <alignment/>
      <protection/>
    </xf>
    <xf numFmtId="38" fontId="3" fillId="0" borderId="63" xfId="48" applyFont="1" applyFill="1" applyBorder="1" applyAlignment="1">
      <alignment/>
    </xf>
    <xf numFmtId="0" fontId="20" fillId="0" borderId="16" xfId="62" applyFont="1" applyFill="1" applyBorder="1" applyAlignment="1">
      <alignment horizontal="center" vertical="center"/>
      <protection/>
    </xf>
    <xf numFmtId="0" fontId="3" fillId="0" borderId="17" xfId="62" applyFill="1" applyBorder="1">
      <alignment/>
      <protection/>
    </xf>
    <xf numFmtId="38" fontId="3" fillId="0" borderId="13" xfId="48" applyFont="1" applyFill="1" applyBorder="1" applyAlignment="1" applyProtection="1">
      <alignment/>
      <protection locked="0"/>
    </xf>
    <xf numFmtId="38" fontId="3" fillId="0" borderId="51" xfId="48" applyFont="1" applyFill="1" applyBorder="1" applyAlignment="1">
      <alignment/>
    </xf>
    <xf numFmtId="0" fontId="36" fillId="0" borderId="16" xfId="62" applyFont="1" applyFill="1" applyBorder="1" applyAlignment="1">
      <alignment horizontal="left" vertical="center" wrapText="1"/>
      <protection/>
    </xf>
    <xf numFmtId="38" fontId="3" fillId="0" borderId="64" xfId="48" applyFont="1" applyFill="1" applyBorder="1" applyAlignment="1">
      <alignment/>
    </xf>
    <xf numFmtId="38" fontId="3" fillId="0" borderId="0" xfId="62" applyNumberFormat="1" applyFill="1" applyBorder="1">
      <alignment/>
      <protection/>
    </xf>
    <xf numFmtId="0" fontId="3" fillId="0" borderId="0" xfId="62" applyFill="1" applyAlignment="1">
      <alignment vertical="center" wrapText="1"/>
      <protection/>
    </xf>
    <xf numFmtId="180" fontId="3" fillId="0" borderId="16" xfId="48" applyNumberFormat="1" applyFont="1" applyFill="1" applyBorder="1" applyAlignment="1">
      <alignment/>
    </xf>
    <xf numFmtId="0" fontId="6" fillId="0" borderId="23" xfId="63" applyFont="1" applyFill="1" applyBorder="1" applyAlignment="1" applyProtection="1">
      <alignment horizontal="distributed" vertical="center"/>
      <protection hidden="1"/>
    </xf>
    <xf numFmtId="0" fontId="4" fillId="0" borderId="16" xfId="63" applyFont="1" applyFill="1" applyBorder="1" applyAlignment="1" applyProtection="1">
      <alignment horizontal="center" vertical="center" shrinkToFit="1"/>
      <protection hidden="1"/>
    </xf>
    <xf numFmtId="176" fontId="3" fillId="0" borderId="16" xfId="63" applyNumberFormat="1" applyFont="1" applyFill="1" applyBorder="1" applyAlignment="1" applyProtection="1">
      <alignment vertical="center" shrinkToFit="1"/>
      <protection hidden="1"/>
    </xf>
    <xf numFmtId="0" fontId="4" fillId="0" borderId="63" xfId="63" applyFont="1" applyFill="1" applyBorder="1" applyAlignment="1" applyProtection="1">
      <alignment horizontal="center" vertical="center" shrinkToFit="1"/>
      <protection hidden="1"/>
    </xf>
    <xf numFmtId="0" fontId="6" fillId="0" borderId="60" xfId="63" applyFont="1" applyFill="1" applyBorder="1" applyAlignment="1" applyProtection="1">
      <alignment horizontal="center" vertical="center"/>
      <protection hidden="1"/>
    </xf>
    <xf numFmtId="0" fontId="3" fillId="33" borderId="0" xfId="62" applyFill="1" applyAlignment="1">
      <alignment vertical="center"/>
      <protection/>
    </xf>
    <xf numFmtId="0" fontId="3" fillId="33" borderId="16" xfId="62" applyFill="1" applyBorder="1" applyAlignment="1">
      <alignment vertical="center"/>
      <protection/>
    </xf>
    <xf numFmtId="38" fontId="23" fillId="33" borderId="0" xfId="48" applyFont="1" applyFill="1" applyBorder="1" applyAlignment="1">
      <alignment/>
    </xf>
    <xf numFmtId="0" fontId="6" fillId="0" borderId="16" xfId="62" applyFont="1" applyFill="1" applyBorder="1" applyAlignment="1">
      <alignment vertical="center"/>
      <protection/>
    </xf>
    <xf numFmtId="0" fontId="29" fillId="0" borderId="0" xfId="62" applyFont="1" applyFill="1" applyBorder="1" applyAlignment="1" applyProtection="1">
      <alignment horizontal="center" vertical="center"/>
      <protection locked="0"/>
    </xf>
    <xf numFmtId="0" fontId="4" fillId="0" borderId="50" xfId="62" applyFont="1" applyFill="1" applyBorder="1" applyAlignment="1" applyProtection="1">
      <alignment horizontal="distributed" vertical="center"/>
      <protection hidden="1"/>
    </xf>
    <xf numFmtId="0" fontId="4" fillId="0" borderId="65" xfId="62" applyFont="1" applyFill="1" applyBorder="1" applyAlignment="1" applyProtection="1">
      <alignment horizontal="distributed" vertical="center"/>
      <protection hidden="1"/>
    </xf>
    <xf numFmtId="0" fontId="4" fillId="0" borderId="66" xfId="62" applyFont="1" applyFill="1" applyBorder="1" applyAlignment="1" applyProtection="1">
      <alignment horizontal="distributed" vertical="center"/>
      <protection hidden="1"/>
    </xf>
    <xf numFmtId="176" fontId="3" fillId="0" borderId="13" xfId="62" applyNumberFormat="1" applyFill="1" applyBorder="1" applyProtection="1">
      <alignment/>
      <protection locked="0"/>
    </xf>
    <xf numFmtId="0" fontId="4" fillId="0" borderId="13" xfId="62" applyFont="1" applyFill="1" applyBorder="1" applyAlignment="1" applyProtection="1">
      <alignment horizontal="distributed" vertical="center"/>
      <protection locked="0"/>
    </xf>
    <xf numFmtId="0" fontId="3" fillId="0" borderId="67" xfId="62" applyFill="1" applyBorder="1">
      <alignment/>
      <protection/>
    </xf>
    <xf numFmtId="0" fontId="4" fillId="0" borderId="66" xfId="62" applyFont="1" applyFill="1" applyBorder="1" applyAlignment="1" applyProtection="1">
      <alignment horizontal="distributed" vertical="center" wrapText="1"/>
      <protection hidden="1"/>
    </xf>
    <xf numFmtId="0" fontId="3" fillId="0" borderId="68" xfId="62" applyFill="1" applyBorder="1" applyAlignment="1">
      <alignment horizontal="center"/>
      <protection/>
    </xf>
    <xf numFmtId="0" fontId="4" fillId="0" borderId="69" xfId="62" applyFont="1" applyFill="1" applyBorder="1" applyAlignment="1" applyProtection="1">
      <alignment horizontal="distributed" vertical="center"/>
      <protection hidden="1"/>
    </xf>
    <xf numFmtId="0" fontId="3" fillId="0" borderId="34" xfId="62" applyFill="1" applyBorder="1" applyAlignment="1">
      <alignment horizontal="center"/>
      <protection/>
    </xf>
    <xf numFmtId="176" fontId="3" fillId="0" borderId="70" xfId="62" applyNumberFormat="1" applyFill="1" applyBorder="1">
      <alignment/>
      <protection/>
    </xf>
    <xf numFmtId="0" fontId="4" fillId="0" borderId="71" xfId="62" applyFont="1" applyFill="1" applyBorder="1" applyAlignment="1" applyProtection="1">
      <alignment horizontal="distributed" vertical="center"/>
      <protection hidden="1"/>
    </xf>
    <xf numFmtId="0" fontId="3" fillId="0" borderId="71" xfId="62" applyFill="1" applyBorder="1" applyAlignment="1">
      <alignment horizontal="center"/>
      <protection/>
    </xf>
    <xf numFmtId="0" fontId="4" fillId="0" borderId="17" xfId="62" applyFont="1" applyFill="1" applyBorder="1" applyAlignment="1" applyProtection="1">
      <alignment horizontal="distributed" vertical="center"/>
      <protection hidden="1"/>
    </xf>
    <xf numFmtId="0" fontId="4" fillId="0" borderId="72" xfId="62" applyFont="1" applyFill="1" applyBorder="1" applyAlignment="1" applyProtection="1">
      <alignment horizontal="distributed" vertical="center"/>
      <protection hidden="1"/>
    </xf>
    <xf numFmtId="176" fontId="3" fillId="0" borderId="52" xfId="62" applyNumberFormat="1" applyFill="1" applyBorder="1">
      <alignment/>
      <protection/>
    </xf>
    <xf numFmtId="176" fontId="3" fillId="0" borderId="57" xfId="62" applyNumberFormat="1" applyFill="1" applyBorder="1">
      <alignment/>
      <protection/>
    </xf>
    <xf numFmtId="0" fontId="42" fillId="0" borderId="17" xfId="62" applyFont="1" applyFill="1" applyBorder="1" applyAlignment="1" applyProtection="1">
      <alignment horizontal="distributed" vertical="center"/>
      <protection hidden="1"/>
    </xf>
    <xf numFmtId="0" fontId="3" fillId="0" borderId="73" xfId="62" applyFill="1" applyBorder="1">
      <alignment/>
      <protection/>
    </xf>
    <xf numFmtId="0" fontId="3" fillId="0" borderId="63" xfId="62" applyFill="1" applyBorder="1">
      <alignment/>
      <protection/>
    </xf>
    <xf numFmtId="0" fontId="3" fillId="0" borderId="30" xfId="62" applyFill="1" applyBorder="1">
      <alignment/>
      <protection/>
    </xf>
    <xf numFmtId="0" fontId="3" fillId="0" borderId="74" xfId="62" applyFill="1" applyBorder="1">
      <alignment/>
      <protection/>
    </xf>
    <xf numFmtId="0" fontId="3" fillId="0" borderId="42" xfId="62" applyFill="1" applyBorder="1">
      <alignment/>
      <protection/>
    </xf>
    <xf numFmtId="0" fontId="3" fillId="0" borderId="75" xfId="62" applyFill="1" applyBorder="1" applyAlignment="1">
      <alignment horizontal="center"/>
      <protection/>
    </xf>
    <xf numFmtId="0" fontId="3" fillId="0" borderId="76" xfId="62" applyFill="1" applyBorder="1">
      <alignment/>
      <protection/>
    </xf>
    <xf numFmtId="0" fontId="3" fillId="0" borderId="0" xfId="62" applyNumberFormat="1" applyFont="1" applyAlignment="1">
      <alignment vertical="center" wrapText="1"/>
      <protection/>
    </xf>
    <xf numFmtId="49" fontId="22" fillId="0" borderId="70" xfId="62" applyNumberFormat="1" applyFont="1" applyFill="1" applyBorder="1" applyAlignment="1">
      <alignment horizontal="center" vertical="center" wrapText="1"/>
      <protection/>
    </xf>
    <xf numFmtId="0" fontId="22" fillId="0" borderId="16" xfId="62" applyNumberFormat="1" applyFont="1" applyFill="1" applyBorder="1" applyAlignment="1" applyProtection="1">
      <alignment horizontal="left" vertical="center" wrapText="1"/>
      <protection locked="0"/>
    </xf>
    <xf numFmtId="0" fontId="22" fillId="0" borderId="19" xfId="62" applyNumberFormat="1" applyFont="1" applyFill="1" applyBorder="1" applyAlignment="1">
      <alignment horizontal="distributed" vertical="center" wrapText="1"/>
      <protection/>
    </xf>
    <xf numFmtId="0" fontId="22" fillId="0" borderId="64" xfId="62" applyNumberFormat="1" applyFont="1" applyFill="1" applyBorder="1" applyAlignment="1">
      <alignment horizontal="distributed" vertical="center" wrapText="1"/>
      <protection/>
    </xf>
    <xf numFmtId="0" fontId="22" fillId="0" borderId="51" xfId="62" applyNumberFormat="1" applyFont="1" applyFill="1" applyBorder="1" applyAlignment="1">
      <alignment horizontal="distributed" vertical="center" wrapText="1"/>
      <protection/>
    </xf>
    <xf numFmtId="38" fontId="3" fillId="0" borderId="70" xfId="48" applyFont="1" applyFill="1" applyBorder="1" applyAlignment="1">
      <alignment vertical="center"/>
    </xf>
    <xf numFmtId="38" fontId="3" fillId="0" borderId="19" xfId="48" applyFont="1" applyFill="1" applyBorder="1" applyAlignment="1">
      <alignment vertical="center"/>
    </xf>
    <xf numFmtId="38" fontId="3" fillId="0" borderId="37" xfId="48" applyFont="1" applyFill="1" applyBorder="1" applyAlignment="1" applyProtection="1">
      <alignment vertical="center"/>
      <protection locked="0"/>
    </xf>
    <xf numFmtId="38" fontId="3" fillId="0" borderId="77" xfId="48" applyFont="1" applyFill="1" applyBorder="1" applyAlignment="1">
      <alignment vertical="center"/>
    </xf>
    <xf numFmtId="38" fontId="3" fillId="0" borderId="78" xfId="48" applyFont="1" applyFill="1" applyBorder="1" applyAlignment="1">
      <alignment vertical="center"/>
    </xf>
    <xf numFmtId="38" fontId="3" fillId="0" borderId="42" xfId="48" applyFont="1" applyFill="1" applyBorder="1" applyAlignment="1">
      <alignment vertical="center"/>
    </xf>
    <xf numFmtId="178" fontId="22" fillId="0" borderId="54" xfId="62" applyNumberFormat="1" applyFont="1" applyFill="1" applyBorder="1" applyAlignment="1" applyProtection="1">
      <alignment horizontal="distributed" vertical="center" wrapText="1"/>
      <protection locked="0"/>
    </xf>
    <xf numFmtId="0" fontId="22" fillId="0" borderId="55" xfId="62" applyNumberFormat="1" applyFont="1" applyFill="1" applyBorder="1" applyAlignment="1">
      <alignment horizontal="distributed" vertical="center" wrapText="1"/>
      <protection/>
    </xf>
    <xf numFmtId="38" fontId="3" fillId="0" borderId="79" xfId="48" applyFont="1" applyFill="1" applyBorder="1" applyAlignment="1">
      <alignment vertical="center"/>
    </xf>
    <xf numFmtId="38" fontId="3" fillId="0" borderId="10" xfId="48" applyFont="1" applyFill="1" applyBorder="1" applyAlignment="1">
      <alignment vertical="center"/>
    </xf>
    <xf numFmtId="38" fontId="3" fillId="0" borderId="43" xfId="48" applyFont="1" applyFill="1" applyBorder="1" applyAlignment="1">
      <alignment vertical="center"/>
    </xf>
    <xf numFmtId="0" fontId="3" fillId="0" borderId="0" xfId="62" applyNumberFormat="1" applyFont="1" applyFill="1" applyBorder="1" applyAlignment="1">
      <alignment vertical="center"/>
      <protection/>
    </xf>
    <xf numFmtId="0" fontId="6" fillId="0" borderId="0" xfId="62" applyNumberFormat="1" applyFont="1" applyFill="1" applyBorder="1" applyAlignment="1">
      <alignment horizontal="center" vertical="center"/>
      <protection/>
    </xf>
    <xf numFmtId="0" fontId="3" fillId="0" borderId="0" xfId="62" applyNumberFormat="1" applyFont="1" applyBorder="1" applyAlignment="1">
      <alignment vertical="center" wrapText="1"/>
      <protection/>
    </xf>
    <xf numFmtId="0" fontId="22" fillId="0" borderId="16" xfId="62" applyNumberFormat="1" applyFont="1" applyFill="1" applyBorder="1" applyAlignment="1">
      <alignment horizontal="distributed" vertical="center" wrapText="1"/>
      <protection/>
    </xf>
    <xf numFmtId="0" fontId="22" fillId="0" borderId="56" xfId="62" applyNumberFormat="1" applyFont="1" applyFill="1" applyBorder="1" applyAlignment="1">
      <alignment horizontal="distributed" vertical="center" wrapText="1"/>
      <protection/>
    </xf>
    <xf numFmtId="0" fontId="22" fillId="0" borderId="80" xfId="62" applyNumberFormat="1" applyFont="1" applyFill="1" applyBorder="1" applyAlignment="1">
      <alignment horizontal="distributed" vertical="center" wrapText="1"/>
      <protection/>
    </xf>
    <xf numFmtId="0" fontId="22" fillId="0" borderId="81" xfId="62" applyNumberFormat="1" applyFont="1" applyFill="1" applyBorder="1" applyAlignment="1">
      <alignment horizontal="distributed" vertical="center" wrapText="1"/>
      <protection/>
    </xf>
    <xf numFmtId="0" fontId="3" fillId="0" borderId="0" xfId="62" applyNumberFormat="1" applyFont="1" applyAlignment="1">
      <alignment horizontal="left" vertical="center" wrapText="1"/>
      <protection/>
    </xf>
    <xf numFmtId="177" fontId="3" fillId="0" borderId="16" xfId="62" applyNumberFormat="1" applyFont="1" applyFill="1" applyBorder="1" applyAlignment="1">
      <alignment horizontal="right"/>
      <protection/>
    </xf>
    <xf numFmtId="177" fontId="3" fillId="0" borderId="17" xfId="62" applyNumberFormat="1" applyFont="1" applyFill="1" applyBorder="1" applyAlignment="1">
      <alignment horizontal="right"/>
      <protection/>
    </xf>
    <xf numFmtId="177" fontId="3" fillId="0" borderId="27" xfId="62" applyNumberFormat="1" applyFont="1" applyFill="1" applyBorder="1" applyAlignment="1">
      <alignment horizontal="right"/>
      <protection/>
    </xf>
    <xf numFmtId="0" fontId="3" fillId="0" borderId="17" xfId="62" applyNumberFormat="1" applyFont="1" applyFill="1" applyBorder="1" applyAlignment="1">
      <alignment vertical="center" wrapText="1"/>
      <protection/>
    </xf>
    <xf numFmtId="177" fontId="3" fillId="0" borderId="27" xfId="62" applyNumberFormat="1" applyFont="1" applyFill="1" applyBorder="1" applyAlignment="1">
      <alignment vertical="center" wrapText="1"/>
      <protection/>
    </xf>
    <xf numFmtId="177" fontId="3" fillId="0" borderId="82" xfId="62" applyNumberFormat="1" applyFont="1" applyFill="1" applyBorder="1" applyAlignment="1" applyProtection="1">
      <alignment horizontal="right"/>
      <protection/>
    </xf>
    <xf numFmtId="177" fontId="3" fillId="0" borderId="83" xfId="62" applyNumberFormat="1" applyFont="1" applyFill="1" applyBorder="1" applyAlignment="1" applyProtection="1">
      <alignment horizontal="right"/>
      <protection/>
    </xf>
    <xf numFmtId="177" fontId="3" fillId="0" borderId="51" xfId="62" applyNumberFormat="1" applyFont="1" applyFill="1" applyBorder="1" applyAlignment="1" applyProtection="1">
      <alignment horizontal="right"/>
      <protection/>
    </xf>
    <xf numFmtId="177" fontId="3" fillId="0" borderId="84" xfId="62" applyNumberFormat="1" applyFont="1" applyFill="1" applyBorder="1" applyAlignment="1">
      <alignment horizontal="right"/>
      <protection/>
    </xf>
    <xf numFmtId="178" fontId="20" fillId="0" borderId="26" xfId="62" applyNumberFormat="1" applyFont="1" applyFill="1" applyBorder="1" applyAlignment="1" applyProtection="1">
      <alignment horizontal="distributed" vertical="center" wrapText="1"/>
      <protection locked="0"/>
    </xf>
    <xf numFmtId="177" fontId="3" fillId="0" borderId="85" xfId="62" applyNumberFormat="1" applyFont="1" applyFill="1" applyBorder="1" applyAlignment="1" applyProtection="1">
      <alignment horizontal="right"/>
      <protection/>
    </xf>
    <xf numFmtId="177" fontId="3" fillId="0" borderId="86" xfId="62" applyNumberFormat="1" applyFont="1" applyFill="1" applyBorder="1" applyAlignment="1" applyProtection="1">
      <alignment horizontal="right"/>
      <protection/>
    </xf>
    <xf numFmtId="177" fontId="3" fillId="0" borderId="87" xfId="62" applyNumberFormat="1" applyFont="1" applyFill="1" applyBorder="1" applyAlignment="1" applyProtection="1">
      <alignment horizontal="right"/>
      <protection/>
    </xf>
    <xf numFmtId="177" fontId="3" fillId="0" borderId="73" xfId="62" applyNumberFormat="1" applyFont="1" applyFill="1" applyBorder="1" applyAlignment="1">
      <alignment horizontal="right"/>
      <protection/>
    </xf>
    <xf numFmtId="177" fontId="3" fillId="0" borderId="88" xfId="62" applyNumberFormat="1" applyFont="1" applyFill="1" applyBorder="1" applyAlignment="1">
      <alignment horizontal="right"/>
      <protection/>
    </xf>
    <xf numFmtId="177" fontId="3" fillId="0" borderId="89" xfId="62" applyNumberFormat="1" applyFont="1" applyFill="1" applyBorder="1" applyAlignment="1" applyProtection="1">
      <alignment horizontal="right"/>
      <protection locked="0"/>
    </xf>
    <xf numFmtId="177" fontId="3" fillId="0" borderId="90" xfId="62" applyNumberFormat="1" applyFont="1" applyFill="1" applyBorder="1" applyAlignment="1" applyProtection="1">
      <alignment horizontal="right"/>
      <protection locked="0"/>
    </xf>
    <xf numFmtId="177" fontId="3" fillId="0" borderId="91" xfId="62" applyNumberFormat="1" applyFont="1" applyFill="1" applyBorder="1" applyAlignment="1" applyProtection="1">
      <alignment horizontal="right"/>
      <protection/>
    </xf>
    <xf numFmtId="177" fontId="3" fillId="0" borderId="28" xfId="62" applyNumberFormat="1" applyFont="1" applyFill="1" applyBorder="1" applyAlignment="1" applyProtection="1">
      <alignment horizontal="right"/>
      <protection/>
    </xf>
    <xf numFmtId="177" fontId="3" fillId="0" borderId="16" xfId="62" applyNumberFormat="1" applyFont="1" applyFill="1" applyBorder="1" applyAlignment="1" applyProtection="1">
      <alignment horizontal="right"/>
      <protection/>
    </xf>
    <xf numFmtId="177" fontId="3" fillId="0" borderId="92" xfId="62" applyNumberFormat="1" applyFont="1" applyFill="1" applyBorder="1" applyAlignment="1" applyProtection="1">
      <alignment horizontal="right"/>
      <protection/>
    </xf>
    <xf numFmtId="177" fontId="3" fillId="0" borderId="93" xfId="62" applyNumberFormat="1" applyFont="1" applyFill="1" applyBorder="1" applyAlignment="1" applyProtection="1">
      <alignment horizontal="right"/>
      <protection/>
    </xf>
    <xf numFmtId="177" fontId="3" fillId="0" borderId="94" xfId="62" applyNumberFormat="1" applyFont="1" applyFill="1" applyBorder="1" applyAlignment="1">
      <alignment horizontal="right"/>
      <protection/>
    </xf>
    <xf numFmtId="177" fontId="3" fillId="0" borderId="13" xfId="62" applyNumberFormat="1" applyFont="1" applyFill="1" applyBorder="1" applyAlignment="1" applyProtection="1">
      <alignment horizontal="right"/>
      <protection locked="0"/>
    </xf>
    <xf numFmtId="177" fontId="3" fillId="0" borderId="95" xfId="62" applyNumberFormat="1" applyFont="1" applyFill="1" applyBorder="1" applyAlignment="1" applyProtection="1">
      <alignment horizontal="right"/>
      <protection/>
    </xf>
    <xf numFmtId="177" fontId="3" fillId="0" borderId="96" xfId="62" applyNumberFormat="1" applyFont="1" applyFill="1" applyBorder="1" applyAlignment="1" applyProtection="1">
      <alignment horizontal="right"/>
      <protection/>
    </xf>
    <xf numFmtId="177" fontId="3" fillId="0" borderId="80" xfId="62" applyNumberFormat="1" applyFont="1" applyFill="1" applyBorder="1" applyAlignment="1" applyProtection="1">
      <alignment horizontal="right"/>
      <protection locked="0"/>
    </xf>
    <xf numFmtId="177" fontId="3" fillId="0" borderId="28" xfId="62" applyNumberFormat="1" applyFont="1" applyFill="1" applyBorder="1" applyAlignment="1" applyProtection="1">
      <alignment horizontal="right"/>
      <protection locked="0"/>
    </xf>
    <xf numFmtId="178" fontId="20" fillId="0" borderId="85" xfId="62" applyNumberFormat="1" applyFont="1" applyFill="1" applyBorder="1" applyAlignment="1">
      <alignment horizontal="distributed" vertical="center" wrapText="1"/>
      <protection/>
    </xf>
    <xf numFmtId="177" fontId="3" fillId="0" borderId="63" xfId="62" applyNumberFormat="1" applyFont="1" applyFill="1" applyBorder="1" applyAlignment="1">
      <alignment horizontal="right"/>
      <protection/>
    </xf>
    <xf numFmtId="177" fontId="3" fillId="0" borderId="66" xfId="62" applyNumberFormat="1" applyFont="1" applyFill="1" applyBorder="1" applyAlignment="1">
      <alignment horizontal="right"/>
      <protection/>
    </xf>
    <xf numFmtId="177" fontId="3" fillId="0" borderId="62" xfId="62" applyNumberFormat="1" applyFont="1" applyFill="1" applyBorder="1" applyAlignment="1">
      <alignment horizontal="right"/>
      <protection/>
    </xf>
    <xf numFmtId="0" fontId="3" fillId="0" borderId="66" xfId="62" applyNumberFormat="1" applyFont="1" applyFill="1" applyBorder="1" applyAlignment="1">
      <alignment vertical="center" wrapText="1"/>
      <protection/>
    </xf>
    <xf numFmtId="177" fontId="3" fillId="0" borderId="62" xfId="62" applyNumberFormat="1" applyFont="1" applyFill="1" applyBorder="1" applyAlignment="1">
      <alignment vertical="center" wrapText="1"/>
      <protection/>
    </xf>
    <xf numFmtId="177" fontId="3" fillId="0" borderId="97" xfId="62" applyNumberFormat="1" applyFont="1" applyFill="1" applyBorder="1" applyAlignment="1">
      <alignment horizontal="right"/>
      <protection/>
    </xf>
    <xf numFmtId="177" fontId="3" fillId="0" borderId="98" xfId="62" applyNumberFormat="1" applyFont="1" applyFill="1" applyBorder="1" applyAlignment="1" applyProtection="1">
      <alignment horizontal="right"/>
      <protection locked="0"/>
    </xf>
    <xf numFmtId="177" fontId="3" fillId="0" borderId="99" xfId="62" applyNumberFormat="1" applyFont="1" applyFill="1" applyBorder="1" applyAlignment="1" applyProtection="1">
      <alignment horizontal="right"/>
      <protection locked="0"/>
    </xf>
    <xf numFmtId="178" fontId="22" fillId="0" borderId="34" xfId="62" applyNumberFormat="1" applyFont="1" applyFill="1" applyBorder="1" applyAlignment="1">
      <alignment horizontal="distributed" wrapText="1"/>
      <protection/>
    </xf>
    <xf numFmtId="177" fontId="3" fillId="0" borderId="100" xfId="62" applyNumberFormat="1" applyFont="1" applyFill="1" applyBorder="1" applyAlignment="1">
      <alignment horizontal="right"/>
      <protection/>
    </xf>
    <xf numFmtId="177" fontId="3" fillId="0" borderId="79" xfId="62" applyNumberFormat="1" applyFont="1" applyFill="1" applyBorder="1" applyAlignment="1">
      <alignment horizontal="right"/>
      <protection/>
    </xf>
    <xf numFmtId="177" fontId="3" fillId="0" borderId="43" xfId="62" applyNumberFormat="1" applyFont="1" applyFill="1" applyBorder="1" applyAlignment="1">
      <alignment horizontal="right"/>
      <protection/>
    </xf>
    <xf numFmtId="177" fontId="3" fillId="0" borderId="101" xfId="62" applyNumberFormat="1" applyFont="1" applyFill="1" applyBorder="1" applyAlignment="1">
      <alignment horizontal="right"/>
      <protection/>
    </xf>
    <xf numFmtId="0" fontId="23" fillId="34" borderId="0" xfId="62" applyFont="1" applyFill="1">
      <alignment/>
      <protection/>
    </xf>
    <xf numFmtId="0" fontId="23" fillId="34" borderId="0" xfId="62" applyFont="1" applyFill="1" applyBorder="1" applyAlignment="1">
      <alignment horizontal="center"/>
      <protection/>
    </xf>
    <xf numFmtId="0" fontId="24" fillId="34" borderId="0" xfId="62" applyFont="1" applyFill="1">
      <alignment/>
      <protection/>
    </xf>
    <xf numFmtId="20" fontId="48" fillId="34" borderId="0" xfId="62" applyNumberFormat="1" applyFont="1" applyFill="1">
      <alignment/>
      <protection/>
    </xf>
    <xf numFmtId="20" fontId="23" fillId="34" borderId="0" xfId="62" applyNumberFormat="1" applyFont="1" applyFill="1">
      <alignment/>
      <protection/>
    </xf>
    <xf numFmtId="0" fontId="6" fillId="0" borderId="0" xfId="62" applyFont="1" applyFill="1" applyAlignment="1">
      <alignment wrapText="1"/>
      <protection/>
    </xf>
    <xf numFmtId="0" fontId="6" fillId="0" borderId="0" xfId="62" applyFont="1" applyFill="1" applyBorder="1" applyAlignment="1">
      <alignment wrapText="1"/>
      <protection/>
    </xf>
    <xf numFmtId="0" fontId="6" fillId="0" borderId="0" xfId="62" applyFont="1">
      <alignment/>
      <protection/>
    </xf>
    <xf numFmtId="0" fontId="23" fillId="0" borderId="0" xfId="62" applyFont="1" applyFill="1" applyAlignment="1">
      <alignment/>
      <protection/>
    </xf>
    <xf numFmtId="0" fontId="24" fillId="35" borderId="89" xfId="62" applyFont="1" applyFill="1" applyBorder="1" applyAlignment="1">
      <alignment wrapText="1"/>
      <protection/>
    </xf>
    <xf numFmtId="0" fontId="23" fillId="35" borderId="89" xfId="62" applyFont="1" applyFill="1" applyBorder="1" applyAlignment="1">
      <alignment/>
      <protection/>
    </xf>
    <xf numFmtId="38" fontId="3" fillId="0" borderId="0" xfId="62" applyNumberFormat="1" applyAlignment="1">
      <alignment/>
      <protection/>
    </xf>
    <xf numFmtId="0" fontId="3" fillId="0" borderId="0" xfId="62" applyBorder="1">
      <alignment/>
      <protection/>
    </xf>
    <xf numFmtId="0" fontId="6" fillId="0" borderId="16" xfId="62" applyFont="1" applyBorder="1">
      <alignment/>
      <protection/>
    </xf>
    <xf numFmtId="0" fontId="3" fillId="0" borderId="16" xfId="62" applyBorder="1">
      <alignment/>
      <protection/>
    </xf>
    <xf numFmtId="0" fontId="0" fillId="0" borderId="0" xfId="0" applyAlignment="1">
      <alignment/>
    </xf>
    <xf numFmtId="0" fontId="89" fillId="0" borderId="0" xfId="60">
      <alignment vertical="center"/>
      <protection/>
    </xf>
    <xf numFmtId="0" fontId="49" fillId="0" borderId="0" xfId="65" applyFont="1" applyBorder="1" applyAlignment="1" applyProtection="1">
      <alignment vertical="center"/>
      <protection hidden="1"/>
    </xf>
    <xf numFmtId="0" fontId="50" fillId="0" borderId="0" xfId="65" applyFont="1" applyBorder="1" applyAlignment="1" applyProtection="1" quotePrefix="1">
      <alignment horizontal="left" vertical="top"/>
      <protection hidden="1"/>
    </xf>
    <xf numFmtId="0" fontId="89" fillId="0" borderId="0" xfId="60" applyFont="1">
      <alignment vertical="center"/>
      <protection/>
    </xf>
    <xf numFmtId="0" fontId="106" fillId="0" borderId="0" xfId="0" applyFont="1" applyAlignment="1">
      <alignment vertical="center"/>
    </xf>
    <xf numFmtId="0" fontId="89" fillId="0" borderId="0" xfId="60" applyFont="1" applyAlignment="1">
      <alignment vertical="center"/>
      <protection/>
    </xf>
    <xf numFmtId="0" fontId="49" fillId="0" borderId="16" xfId="65" applyFont="1" applyBorder="1" applyAlignment="1" applyProtection="1">
      <alignment horizontal="center" vertical="center"/>
      <protection hidden="1"/>
    </xf>
    <xf numFmtId="0" fontId="52" fillId="0" borderId="0" xfId="65" applyFont="1" applyBorder="1" applyAlignment="1" applyProtection="1">
      <alignment vertical="center"/>
      <protection hidden="1"/>
    </xf>
    <xf numFmtId="0" fontId="54" fillId="0" borderId="102" xfId="65" applyFont="1" applyBorder="1" applyAlignment="1" applyProtection="1">
      <alignment vertical="center"/>
      <protection hidden="1"/>
    </xf>
    <xf numFmtId="0" fontId="107" fillId="0" borderId="19" xfId="60" applyFont="1" applyBorder="1" quotePrefix="1">
      <alignment vertical="center"/>
      <protection/>
    </xf>
    <xf numFmtId="0" fontId="107" fillId="0" borderId="19" xfId="60" applyFont="1" applyBorder="1" quotePrefix="1">
      <alignment vertical="center"/>
      <protection/>
    </xf>
    <xf numFmtId="0" fontId="52" fillId="0" borderId="16" xfId="65" applyFont="1" applyBorder="1" applyAlignment="1" applyProtection="1">
      <alignment horizontal="center" vertical="center"/>
      <protection hidden="1"/>
    </xf>
    <xf numFmtId="0" fontId="52" fillId="0" borderId="103" xfId="65" applyFont="1" applyBorder="1" applyAlignment="1" applyProtection="1">
      <alignment horizontal="center" vertical="center"/>
      <protection hidden="1"/>
    </xf>
    <xf numFmtId="0" fontId="52" fillId="0" borderId="16" xfId="65" applyFont="1" applyBorder="1" applyAlignment="1" applyProtection="1">
      <alignment horizontal="center" wrapText="1"/>
      <protection hidden="1"/>
    </xf>
    <xf numFmtId="0" fontId="52" fillId="0" borderId="16" xfId="65" applyFont="1" applyBorder="1" applyAlignment="1" applyProtection="1" quotePrefix="1">
      <alignment horizontal="center" wrapText="1"/>
      <protection hidden="1"/>
    </xf>
    <xf numFmtId="0" fontId="0" fillId="0" borderId="16" xfId="65" applyFont="1" applyBorder="1" applyAlignment="1" applyProtection="1">
      <alignment horizontal="center" wrapText="1"/>
      <protection hidden="1"/>
    </xf>
    <xf numFmtId="0" fontId="52" fillId="0" borderId="0" xfId="65" applyFont="1" applyBorder="1" applyAlignment="1" applyProtection="1" quotePrefix="1">
      <alignment horizontal="left" vertical="top"/>
      <protection hidden="1"/>
    </xf>
    <xf numFmtId="0" fontId="46" fillId="0" borderId="0" xfId="65" applyFont="1" applyBorder="1" applyAlignment="1" applyProtection="1" quotePrefix="1">
      <alignment horizontal="left" vertical="top"/>
      <protection hidden="1"/>
    </xf>
    <xf numFmtId="0" fontId="22" fillId="0" borderId="0" xfId="65" applyFont="1" applyBorder="1" applyAlignment="1" applyProtection="1" quotePrefix="1">
      <alignment horizontal="left" vertical="center"/>
      <protection hidden="1"/>
    </xf>
    <xf numFmtId="0" fontId="54" fillId="0" borderId="63" xfId="65" applyFont="1" applyBorder="1" applyAlignment="1" applyProtection="1">
      <alignment horizontal="right" vertical="center"/>
      <protection hidden="1"/>
    </xf>
    <xf numFmtId="0" fontId="0" fillId="0" borderId="63" xfId="65" applyBorder="1" applyAlignment="1" applyProtection="1">
      <alignment horizontal="right" vertical="center"/>
      <protection hidden="1"/>
    </xf>
    <xf numFmtId="0" fontId="53" fillId="0" borderId="63" xfId="65" applyFont="1" applyBorder="1" applyAlignment="1" applyProtection="1" quotePrefix="1">
      <alignment horizontal="left"/>
      <protection hidden="1"/>
    </xf>
    <xf numFmtId="0" fontId="54" fillId="0" borderId="63" xfId="65" applyFont="1" applyBorder="1" applyAlignment="1" applyProtection="1">
      <alignment vertical="center"/>
      <protection hidden="1"/>
    </xf>
    <xf numFmtId="0" fontId="0" fillId="0" borderId="63" xfId="65" applyBorder="1" applyAlignment="1" applyProtection="1">
      <alignment vertical="center"/>
      <protection hidden="1"/>
    </xf>
    <xf numFmtId="0" fontId="51" fillId="0" borderId="63" xfId="65" applyFont="1" applyBorder="1" applyAlignment="1" applyProtection="1">
      <alignment vertical="center"/>
      <protection hidden="1"/>
    </xf>
    <xf numFmtId="0" fontId="51" fillId="0" borderId="64" xfId="65" applyFont="1" applyBorder="1" applyAlignment="1" applyProtection="1">
      <alignment vertical="center"/>
      <protection hidden="1"/>
    </xf>
    <xf numFmtId="0" fontId="0" fillId="0" borderId="64" xfId="65" applyBorder="1" applyAlignment="1" applyProtection="1">
      <alignment vertical="center"/>
      <protection hidden="1"/>
    </xf>
    <xf numFmtId="0" fontId="108"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63" xfId="0" applyBorder="1" applyAlignment="1">
      <alignment horizontal="center" vertical="center"/>
    </xf>
    <xf numFmtId="0" fontId="0" fillId="0" borderId="63" xfId="0" applyBorder="1" applyAlignment="1">
      <alignment vertical="center"/>
    </xf>
    <xf numFmtId="0" fontId="7" fillId="0" borderId="104" xfId="62" applyFont="1" applyFill="1" applyBorder="1" applyAlignment="1">
      <alignment vertical="center"/>
      <protection/>
    </xf>
    <xf numFmtId="0" fontId="3" fillId="0" borderId="17" xfId="62" applyFill="1" applyBorder="1" applyAlignment="1">
      <alignment horizontal="left" vertical="center" wrapText="1"/>
      <protection/>
    </xf>
    <xf numFmtId="177" fontId="3" fillId="0" borderId="46" xfId="62" applyNumberFormat="1" applyFont="1" applyFill="1" applyBorder="1" applyAlignment="1">
      <alignment vertical="center"/>
      <protection/>
    </xf>
    <xf numFmtId="177" fontId="3" fillId="0" borderId="61" xfId="62" applyNumberFormat="1" applyFont="1" applyFill="1" applyBorder="1" applyAlignment="1">
      <alignment vertical="center"/>
      <protection/>
    </xf>
    <xf numFmtId="38" fontId="3" fillId="0" borderId="60" xfId="48" applyFont="1" applyFill="1" applyBorder="1" applyAlignment="1">
      <alignment vertical="center"/>
    </xf>
    <xf numFmtId="177" fontId="3" fillId="0" borderId="60" xfId="62" applyNumberFormat="1" applyFont="1" applyFill="1" applyBorder="1" applyAlignment="1">
      <alignment vertical="center"/>
      <protection/>
    </xf>
    <xf numFmtId="38" fontId="3" fillId="0" borderId="105" xfId="48" applyFont="1" applyFill="1" applyBorder="1" applyAlignment="1">
      <alignment vertical="center"/>
    </xf>
    <xf numFmtId="178" fontId="22" fillId="0" borderId="31" xfId="62" applyNumberFormat="1" applyFont="1" applyFill="1" applyBorder="1" applyAlignment="1">
      <alignment horizontal="distributed" vertical="center" wrapText="1"/>
      <protection/>
    </xf>
    <xf numFmtId="177" fontId="3" fillId="0" borderId="18" xfId="62" applyNumberFormat="1" applyFont="1" applyFill="1" applyBorder="1" applyAlignment="1">
      <alignment vertical="center"/>
      <protection/>
    </xf>
    <xf numFmtId="38" fontId="3" fillId="0" borderId="46" xfId="48" applyFont="1" applyFill="1" applyBorder="1" applyAlignment="1">
      <alignment vertical="center"/>
    </xf>
    <xf numFmtId="38" fontId="3" fillId="0" borderId="100" xfId="48" applyFont="1" applyFill="1" applyBorder="1" applyAlignment="1">
      <alignment vertical="center"/>
    </xf>
    <xf numFmtId="38" fontId="3" fillId="0" borderId="17" xfId="48" applyFont="1" applyFill="1" applyBorder="1" applyAlignment="1">
      <alignment vertical="center"/>
    </xf>
    <xf numFmtId="38" fontId="3" fillId="0" borderId="12" xfId="48" applyFont="1" applyFill="1" applyBorder="1" applyAlignment="1">
      <alignment vertical="center"/>
    </xf>
    <xf numFmtId="177" fontId="3" fillId="0" borderId="51" xfId="62" applyNumberFormat="1" applyFont="1" applyFill="1" applyBorder="1" applyAlignment="1">
      <alignment vertical="center"/>
      <protection/>
    </xf>
    <xf numFmtId="177" fontId="3" fillId="0" borderId="71" xfId="62" applyNumberFormat="1" applyFont="1" applyFill="1" applyBorder="1" applyAlignment="1">
      <alignment horizontal="right"/>
      <protection/>
    </xf>
    <xf numFmtId="0" fontId="3" fillId="0" borderId="23" xfId="62" applyFill="1" applyBorder="1" applyAlignment="1">
      <alignment/>
      <protection/>
    </xf>
    <xf numFmtId="0" fontId="3" fillId="0" borderId="106" xfId="62" applyFill="1" applyBorder="1">
      <alignment/>
      <protection/>
    </xf>
    <xf numFmtId="0" fontId="6" fillId="0" borderId="57" xfId="62" applyFont="1" applyFill="1" applyBorder="1" applyAlignment="1">
      <alignment horizontal="center" vertical="center"/>
      <protection/>
    </xf>
    <xf numFmtId="177" fontId="3" fillId="0" borderId="38" xfId="62" applyNumberFormat="1" applyFill="1" applyBorder="1">
      <alignment/>
      <protection/>
    </xf>
    <xf numFmtId="177" fontId="3" fillId="0" borderId="37" xfId="62" applyNumberFormat="1" applyFill="1" applyBorder="1" applyAlignment="1">
      <alignment/>
      <protection/>
    </xf>
    <xf numFmtId="38" fontId="3" fillId="0" borderId="100" xfId="48" applyFont="1" applyFill="1" applyBorder="1" applyAlignment="1">
      <alignment horizontal="right"/>
    </xf>
    <xf numFmtId="0" fontId="3" fillId="0" borderId="51" xfId="62" applyFill="1" applyBorder="1" applyAlignment="1">
      <alignment/>
      <protection/>
    </xf>
    <xf numFmtId="0" fontId="3" fillId="0" borderId="52" xfId="62" applyBorder="1">
      <alignment/>
      <protection/>
    </xf>
    <xf numFmtId="0" fontId="6" fillId="0" borderId="20" xfId="62" applyFont="1" applyFill="1" applyBorder="1" applyAlignment="1">
      <alignment horizontal="center" vertical="center"/>
      <protection/>
    </xf>
    <xf numFmtId="0" fontId="6" fillId="0" borderId="107" xfId="62" applyFont="1" applyFill="1" applyBorder="1" applyAlignment="1">
      <alignment horizontal="center" vertical="center"/>
      <protection/>
    </xf>
    <xf numFmtId="0" fontId="39" fillId="0" borderId="0" xfId="62" applyNumberFormat="1" applyFont="1" applyFill="1" applyAlignment="1">
      <alignment vertical="center" wrapText="1"/>
      <protection/>
    </xf>
    <xf numFmtId="0" fontId="39" fillId="0" borderId="0" xfId="62" applyNumberFormat="1" applyFont="1" applyFill="1" applyBorder="1" applyAlignment="1">
      <alignment vertical="center" wrapText="1"/>
      <protection/>
    </xf>
    <xf numFmtId="0" fontId="39" fillId="0" borderId="0" xfId="62" applyNumberFormat="1" applyFont="1" applyFill="1" applyAlignment="1">
      <alignment vertical="center" textRotation="255" wrapText="1"/>
      <protection/>
    </xf>
    <xf numFmtId="0" fontId="39" fillId="0" borderId="0" xfId="62" applyFont="1" applyAlignment="1">
      <alignment vertical="center"/>
      <protection/>
    </xf>
    <xf numFmtId="0" fontId="3" fillId="0" borderId="99" xfId="62" applyFill="1" applyBorder="1" applyAlignment="1">
      <alignment/>
      <protection/>
    </xf>
    <xf numFmtId="0" fontId="3" fillId="0" borderId="108" xfId="62" applyBorder="1">
      <alignment/>
      <protection/>
    </xf>
    <xf numFmtId="0" fontId="3" fillId="0" borderId="28" xfId="62" applyFill="1" applyBorder="1" applyAlignment="1">
      <alignment/>
      <protection/>
    </xf>
    <xf numFmtId="0" fontId="3" fillId="0" borderId="73" xfId="62" applyBorder="1">
      <alignment/>
      <protection/>
    </xf>
    <xf numFmtId="0" fontId="3" fillId="0" borderId="87" xfId="62" applyFill="1" applyBorder="1" applyAlignment="1">
      <alignment/>
      <protection/>
    </xf>
    <xf numFmtId="0" fontId="3" fillId="0" borderId="109" xfId="62" applyBorder="1">
      <alignment/>
      <protection/>
    </xf>
    <xf numFmtId="0" fontId="3" fillId="0" borderId="51" xfId="62" applyFill="1" applyBorder="1" applyAlignment="1">
      <alignment vertical="center"/>
      <protection/>
    </xf>
    <xf numFmtId="38" fontId="30" fillId="0" borderId="27" xfId="48" applyFont="1" applyFill="1" applyBorder="1" applyAlignment="1">
      <alignment/>
    </xf>
    <xf numFmtId="38" fontId="30" fillId="0" borderId="67" xfId="48" applyFont="1" applyFill="1" applyBorder="1" applyAlignment="1">
      <alignment/>
    </xf>
    <xf numFmtId="0" fontId="6" fillId="0" borderId="16" xfId="62" applyFont="1" applyFill="1" applyBorder="1" applyAlignment="1">
      <alignment horizontal="center" vertical="center" wrapText="1"/>
      <protection/>
    </xf>
    <xf numFmtId="0" fontId="3" fillId="0" borderId="16" xfId="62" applyFont="1" applyFill="1" applyBorder="1" applyAlignment="1">
      <alignment horizontal="center" vertical="center"/>
      <protection/>
    </xf>
    <xf numFmtId="0" fontId="3" fillId="0" borderId="16" xfId="62" applyFont="1" applyFill="1" applyBorder="1" applyAlignment="1">
      <alignment vertical="center"/>
      <protection/>
    </xf>
    <xf numFmtId="38" fontId="3" fillId="0" borderId="17" xfId="48" applyFont="1" applyFill="1" applyBorder="1" applyAlignment="1" applyProtection="1">
      <alignment vertical="center"/>
      <protection locked="0"/>
    </xf>
    <xf numFmtId="38" fontId="3" fillId="0" borderId="71" xfId="48" applyFont="1" applyFill="1" applyBorder="1" applyAlignment="1">
      <alignment vertical="center"/>
    </xf>
    <xf numFmtId="0" fontId="3" fillId="0" borderId="63" xfId="62" applyFill="1" applyBorder="1" applyAlignment="1">
      <alignment vertical="center"/>
      <protection/>
    </xf>
    <xf numFmtId="0" fontId="3" fillId="0" borderId="16" xfId="62" applyBorder="1" applyAlignment="1">
      <alignment vertical="center"/>
      <protection/>
    </xf>
    <xf numFmtId="38" fontId="3" fillId="0" borderId="16" xfId="62" applyNumberFormat="1" applyFill="1" applyBorder="1" applyAlignment="1">
      <alignment vertical="center"/>
      <protection/>
    </xf>
    <xf numFmtId="181" fontId="0" fillId="0" borderId="16" xfId="65" applyNumberFormat="1" applyBorder="1" applyAlignment="1" applyProtection="1">
      <alignment horizontal="right" vertical="center"/>
      <protection hidden="1"/>
    </xf>
    <xf numFmtId="181" fontId="0" fillId="0" borderId="16" xfId="65" applyNumberFormat="1" applyBorder="1" applyAlignment="1" applyProtection="1">
      <alignment vertical="center"/>
      <protection hidden="1"/>
    </xf>
    <xf numFmtId="181" fontId="52" fillId="0" borderId="16" xfId="65" applyNumberFormat="1" applyFont="1" applyBorder="1" applyAlignment="1" applyProtection="1">
      <alignment vertical="center"/>
      <protection hidden="1"/>
    </xf>
    <xf numFmtId="181" fontId="0" fillId="0" borderId="16" xfId="65" applyNumberFormat="1" applyFont="1" applyBorder="1" applyAlignment="1" applyProtection="1">
      <alignment vertical="center"/>
      <protection hidden="1"/>
    </xf>
    <xf numFmtId="181" fontId="52" fillId="0" borderId="17" xfId="65" applyNumberFormat="1" applyFont="1" applyBorder="1" applyAlignment="1" applyProtection="1">
      <alignment vertical="center"/>
      <protection hidden="1"/>
    </xf>
    <xf numFmtId="9" fontId="20" fillId="0" borderId="0" xfId="62" applyNumberFormat="1" applyFont="1" applyFill="1" applyAlignment="1">
      <alignment horizontal="left" vertical="center" wrapText="1"/>
      <protection/>
    </xf>
    <xf numFmtId="10" fontId="3" fillId="0" borderId="0" xfId="62" applyNumberFormat="1" applyFont="1" applyFill="1" applyAlignment="1">
      <alignment vertical="center"/>
      <protection/>
    </xf>
    <xf numFmtId="0" fontId="6" fillId="0" borderId="0" xfId="62" applyNumberFormat="1" applyFont="1" applyFill="1" applyAlignment="1">
      <alignment vertical="center"/>
      <protection/>
    </xf>
    <xf numFmtId="0" fontId="55" fillId="0" borderId="0" xfId="0" applyFont="1" applyAlignment="1">
      <alignment vertical="center"/>
    </xf>
    <xf numFmtId="176" fontId="3" fillId="0" borderId="20" xfId="63" applyNumberFormat="1" applyFont="1" applyFill="1" applyBorder="1" applyAlignment="1" applyProtection="1">
      <alignment vertical="center" shrinkToFit="1"/>
      <protection hidden="1"/>
    </xf>
    <xf numFmtId="0" fontId="6" fillId="0" borderId="16" xfId="62" applyFont="1" applyFill="1" applyBorder="1" applyAlignment="1">
      <alignment/>
      <protection/>
    </xf>
    <xf numFmtId="179" fontId="6" fillId="0" borderId="16" xfId="62" applyNumberFormat="1" applyFont="1" applyFill="1" applyBorder="1" applyAlignment="1">
      <alignment/>
      <protection/>
    </xf>
    <xf numFmtId="183" fontId="3" fillId="0" borderId="16" xfId="62" applyNumberFormat="1" applyFill="1" applyBorder="1" applyAlignment="1">
      <alignment/>
      <protection/>
    </xf>
    <xf numFmtId="178" fontId="3" fillId="0" borderId="51" xfId="62" applyNumberFormat="1" applyFont="1" applyFill="1" applyBorder="1" applyAlignment="1">
      <alignment vertical="center"/>
      <protection/>
    </xf>
    <xf numFmtId="0" fontId="6" fillId="0" borderId="17" xfId="62" applyFont="1" applyFill="1" applyBorder="1" applyAlignment="1">
      <alignment horizontal="distributed" vertical="center"/>
      <protection/>
    </xf>
    <xf numFmtId="0" fontId="3" fillId="0" borderId="67" xfId="62" applyFill="1" applyBorder="1" applyAlignment="1">
      <alignment horizontal="center" vertical="center"/>
      <protection/>
    </xf>
    <xf numFmtId="0" fontId="3" fillId="0" borderId="27" xfId="62" applyFill="1" applyBorder="1" applyAlignment="1">
      <alignment horizontal="center" vertical="center"/>
      <protection/>
    </xf>
    <xf numFmtId="0" fontId="3" fillId="0" borderId="16" xfId="62" applyFill="1" applyBorder="1" applyAlignment="1">
      <alignment horizontal="center" vertical="center"/>
      <protection/>
    </xf>
    <xf numFmtId="0" fontId="3" fillId="0" borderId="16" xfId="62" applyFill="1" applyBorder="1" applyAlignment="1">
      <alignment horizontal="center"/>
      <protection/>
    </xf>
    <xf numFmtId="0" fontId="3" fillId="0" borderId="16" xfId="62" applyFill="1" applyBorder="1" applyAlignment="1">
      <alignment horizontal="distributed" vertical="center" wrapText="1"/>
      <protection/>
    </xf>
    <xf numFmtId="0" fontId="6" fillId="0" borderId="67" xfId="62" applyFont="1" applyFill="1" applyBorder="1" applyAlignment="1">
      <alignment horizontal="center" vertical="center" wrapText="1"/>
      <protection/>
    </xf>
    <xf numFmtId="177" fontId="20" fillId="0" borderId="0" xfId="62" applyNumberFormat="1" applyFont="1" applyFill="1" applyBorder="1" applyAlignment="1">
      <alignment vertical="center"/>
      <protection/>
    </xf>
    <xf numFmtId="38" fontId="23" fillId="0" borderId="43" xfId="48" applyFont="1" applyFill="1" applyBorder="1" applyAlignment="1">
      <alignment horizontal="center" vertical="center" wrapText="1"/>
    </xf>
    <xf numFmtId="38" fontId="23" fillId="0" borderId="44" xfId="48" applyFont="1" applyFill="1" applyBorder="1" applyAlignment="1">
      <alignment horizontal="center" vertical="center" wrapText="1"/>
    </xf>
    <xf numFmtId="181" fontId="3" fillId="0" borderId="16" xfId="62" applyNumberFormat="1" applyFont="1" applyFill="1" applyBorder="1" applyAlignment="1">
      <alignment vertical="center"/>
      <protection/>
    </xf>
    <xf numFmtId="181" fontId="20" fillId="0" borderId="16" xfId="62" applyNumberFormat="1" applyFont="1" applyFill="1" applyBorder="1" applyAlignment="1">
      <alignment vertical="center"/>
      <protection/>
    </xf>
    <xf numFmtId="181" fontId="3" fillId="0" borderId="64" xfId="65" applyNumberFormat="1" applyFont="1" applyFill="1" applyBorder="1" applyAlignment="1" applyProtection="1">
      <alignment vertical="center" shrinkToFit="1"/>
      <protection hidden="1"/>
    </xf>
    <xf numFmtId="181" fontId="3" fillId="0" borderId="64" xfId="65" applyNumberFormat="1" applyFont="1" applyBorder="1" applyAlignment="1" applyProtection="1">
      <alignment vertical="center" shrinkToFit="1"/>
      <protection hidden="1"/>
    </xf>
    <xf numFmtId="181" fontId="3" fillId="0" borderId="19" xfId="65" applyNumberFormat="1" applyFont="1" applyBorder="1" applyAlignment="1" applyProtection="1">
      <alignment vertical="center" shrinkToFit="1"/>
      <protection hidden="1"/>
    </xf>
    <xf numFmtId="181" fontId="3" fillId="0" borderId="16" xfId="65" applyNumberFormat="1" applyFont="1" applyBorder="1" applyAlignment="1" applyProtection="1">
      <alignment horizontal="right" vertical="center"/>
      <protection hidden="1"/>
    </xf>
    <xf numFmtId="9" fontId="3" fillId="0" borderId="51" xfId="65" applyNumberFormat="1" applyFont="1" applyBorder="1" applyAlignment="1" applyProtection="1">
      <alignment horizontal="right" vertical="top"/>
      <protection hidden="1"/>
    </xf>
    <xf numFmtId="181" fontId="3" fillId="0" borderId="16" xfId="65" applyNumberFormat="1" applyFont="1" applyBorder="1" applyAlignment="1" applyProtection="1">
      <alignment vertical="center"/>
      <protection hidden="1"/>
    </xf>
    <xf numFmtId="181" fontId="3" fillId="0" borderId="51" xfId="65" applyNumberFormat="1" applyFont="1" applyBorder="1" applyAlignment="1" applyProtection="1">
      <alignment vertical="center" shrinkToFit="1"/>
      <protection hidden="1"/>
    </xf>
    <xf numFmtId="181" fontId="3" fillId="0" borderId="63" xfId="65" applyNumberFormat="1" applyFont="1" applyBorder="1" applyAlignment="1" applyProtection="1">
      <alignment vertical="center"/>
      <protection hidden="1"/>
    </xf>
    <xf numFmtId="181" fontId="3" fillId="0" borderId="110" xfId="65" applyNumberFormat="1" applyFont="1" applyBorder="1" applyAlignment="1" applyProtection="1">
      <alignment vertical="center"/>
      <protection locked="0"/>
    </xf>
    <xf numFmtId="181" fontId="3" fillId="0" borderId="27" xfId="65" applyNumberFormat="1" applyFont="1" applyBorder="1" applyAlignment="1" applyProtection="1">
      <alignment vertical="center"/>
      <protection hidden="1"/>
    </xf>
    <xf numFmtId="181" fontId="3" fillId="0" borderId="51" xfId="65" applyNumberFormat="1" applyFont="1" applyBorder="1" applyAlignment="1" applyProtection="1">
      <alignment vertical="center"/>
      <protection hidden="1"/>
    </xf>
    <xf numFmtId="181" fontId="3" fillId="0" borderId="51" xfId="65" applyNumberFormat="1" applyFont="1" applyFill="1" applyBorder="1" applyAlignment="1" applyProtection="1">
      <alignment vertical="center" shrinkToFit="1"/>
      <protection hidden="1"/>
    </xf>
    <xf numFmtId="38" fontId="3" fillId="0" borderId="51" xfId="0" applyNumberFormat="1" applyFont="1" applyBorder="1" applyAlignment="1">
      <alignment vertical="center"/>
    </xf>
    <xf numFmtId="179" fontId="3" fillId="0" borderId="51" xfId="0" applyNumberFormat="1" applyFont="1" applyBorder="1" applyAlignment="1">
      <alignment vertical="center"/>
    </xf>
    <xf numFmtId="179" fontId="3" fillId="0" borderId="63" xfId="0" applyNumberFormat="1" applyFont="1" applyBorder="1" applyAlignment="1">
      <alignment vertical="center"/>
    </xf>
    <xf numFmtId="177" fontId="3" fillId="0" borderId="38" xfId="62" applyNumberFormat="1" applyFont="1" applyFill="1" applyBorder="1" applyAlignment="1">
      <alignment/>
      <protection/>
    </xf>
    <xf numFmtId="38" fontId="3" fillId="0" borderId="38" xfId="48" applyFont="1" applyFill="1" applyBorder="1" applyAlignment="1">
      <alignment horizontal="right"/>
    </xf>
    <xf numFmtId="177" fontId="3" fillId="0" borderId="57" xfId="62" applyNumberFormat="1" applyFont="1" applyFill="1" applyBorder="1" applyAlignment="1">
      <alignment/>
      <protection/>
    </xf>
    <xf numFmtId="177" fontId="3" fillId="0" borderId="45" xfId="62" applyNumberFormat="1" applyFont="1" applyFill="1" applyBorder="1" applyAlignment="1">
      <alignment horizontal="right"/>
      <protection/>
    </xf>
    <xf numFmtId="0" fontId="2" fillId="0" borderId="63" xfId="0" applyFont="1" applyBorder="1" applyAlignment="1">
      <alignment vertical="center"/>
    </xf>
    <xf numFmtId="38" fontId="3" fillId="0" borderId="16" xfId="48" applyFont="1" applyFill="1" applyBorder="1" applyAlignment="1">
      <alignment horizontal="right" vertical="center" wrapText="1" indent="1"/>
    </xf>
    <xf numFmtId="38" fontId="3" fillId="0" borderId="51" xfId="48" applyFont="1" applyFill="1" applyBorder="1" applyAlignment="1">
      <alignment horizontal="right" vertical="center" indent="1"/>
    </xf>
    <xf numFmtId="0" fontId="3" fillId="0" borderId="16" xfId="62" applyFill="1" applyBorder="1" applyAlignment="1">
      <alignment horizontal="right" vertical="center" indent="1"/>
      <protection/>
    </xf>
    <xf numFmtId="38" fontId="3" fillId="0" borderId="16" xfId="48" applyFont="1" applyFill="1" applyBorder="1" applyAlignment="1">
      <alignment horizontal="right" vertical="center" indent="1"/>
    </xf>
    <xf numFmtId="38" fontId="3" fillId="0" borderId="28" xfId="48" applyFont="1" applyFill="1" applyBorder="1" applyAlignment="1">
      <alignment horizontal="right" vertical="center" indent="1"/>
    </xf>
    <xf numFmtId="38" fontId="3" fillId="0" borderId="17" xfId="48" applyFont="1" applyFill="1" applyBorder="1" applyAlignment="1">
      <alignment horizontal="right" vertical="center" indent="1"/>
    </xf>
    <xf numFmtId="38" fontId="3" fillId="0" borderId="0" xfId="48" applyFont="1" applyFill="1" applyBorder="1" applyAlignment="1">
      <alignment horizontal="right" vertical="center" indent="1"/>
    </xf>
    <xf numFmtId="0" fontId="3" fillId="0" borderId="0" xfId="62" applyFill="1" applyBorder="1" applyAlignment="1">
      <alignment horizontal="center"/>
      <protection/>
    </xf>
    <xf numFmtId="0" fontId="7" fillId="0" borderId="12" xfId="62" applyFont="1" applyFill="1" applyBorder="1" applyAlignment="1">
      <alignment horizontal="left"/>
      <protection/>
    </xf>
    <xf numFmtId="0" fontId="15" fillId="0" borderId="44" xfId="62" applyFont="1" applyFill="1" applyBorder="1" applyAlignment="1">
      <alignment horizontal="left"/>
      <protection/>
    </xf>
    <xf numFmtId="0" fontId="13" fillId="0" borderId="12" xfId="62" applyFont="1" applyFill="1" applyBorder="1" applyAlignment="1">
      <alignment horizontal="left" vertical="center"/>
      <protection/>
    </xf>
    <xf numFmtId="0" fontId="7" fillId="0" borderId="44" xfId="62" applyFont="1" applyFill="1" applyBorder="1" applyAlignment="1">
      <alignment horizontal="left" vertical="center"/>
      <protection/>
    </xf>
    <xf numFmtId="0" fontId="6" fillId="0" borderId="12" xfId="62" applyFont="1" applyFill="1" applyBorder="1" applyAlignment="1">
      <alignment horizontal="left" vertical="center" wrapText="1"/>
      <protection/>
    </xf>
    <xf numFmtId="0" fontId="3" fillId="0" borderId="44" xfId="62" applyFont="1" applyFill="1" applyBorder="1" applyAlignment="1">
      <alignment horizontal="left" vertical="center" wrapText="1"/>
      <protection/>
    </xf>
    <xf numFmtId="0" fontId="6" fillId="0" borderId="111" xfId="62" applyFont="1" applyFill="1" applyBorder="1" applyAlignment="1">
      <alignment horizontal="left" vertical="top" wrapText="1"/>
      <protection/>
    </xf>
    <xf numFmtId="0" fontId="6" fillId="0" borderId="15" xfId="62" applyFont="1" applyFill="1" applyBorder="1" applyAlignment="1">
      <alignment horizontal="left" vertical="top" wrapText="1"/>
      <protection/>
    </xf>
    <xf numFmtId="0" fontId="6" fillId="0" borderId="112" xfId="62" applyFont="1" applyFill="1" applyBorder="1" applyAlignment="1">
      <alignment horizontal="left" vertical="top" wrapText="1"/>
      <protection/>
    </xf>
    <xf numFmtId="0" fontId="6" fillId="0" borderId="79" xfId="62" applyFont="1" applyFill="1" applyBorder="1" applyAlignment="1">
      <alignment horizontal="left" vertical="top" wrapText="1"/>
      <protection/>
    </xf>
    <xf numFmtId="0" fontId="6" fillId="0" borderId="10" xfId="62" applyFont="1" applyFill="1" applyBorder="1" applyAlignment="1">
      <alignment horizontal="left" vertical="top" wrapText="1"/>
      <protection/>
    </xf>
    <xf numFmtId="0" fontId="6" fillId="0" borderId="45" xfId="62" applyFont="1" applyFill="1" applyBorder="1" applyAlignment="1">
      <alignment horizontal="left" vertical="top" wrapText="1"/>
      <protection/>
    </xf>
    <xf numFmtId="0" fontId="12" fillId="0" borderId="111" xfId="62" applyFont="1" applyFill="1" applyBorder="1" applyAlignment="1">
      <alignment vertical="center" wrapText="1"/>
      <protection/>
    </xf>
    <xf numFmtId="0" fontId="12" fillId="0" borderId="58" xfId="62" applyFont="1" applyFill="1" applyBorder="1" applyAlignment="1">
      <alignment vertical="center" wrapText="1"/>
      <protection/>
    </xf>
    <xf numFmtId="0" fontId="16" fillId="0" borderId="113" xfId="62" applyFont="1" applyFill="1" applyBorder="1" applyAlignment="1">
      <alignment vertical="center" wrapText="1"/>
      <protection/>
    </xf>
    <xf numFmtId="0" fontId="3" fillId="0" borderId="12" xfId="62" applyFont="1" applyFill="1" applyBorder="1" applyAlignment="1" quotePrefix="1">
      <alignment horizontal="left" vertical="center" wrapText="1"/>
      <protection/>
    </xf>
    <xf numFmtId="0" fontId="3" fillId="0" borderId="44" xfId="62" applyFont="1" applyFill="1" applyBorder="1" applyAlignment="1" quotePrefix="1">
      <alignment horizontal="left" vertical="center" wrapText="1"/>
      <protection/>
    </xf>
    <xf numFmtId="0" fontId="11" fillId="0" borderId="12" xfId="62" applyFont="1" applyFill="1" applyBorder="1" applyAlignment="1">
      <alignment horizontal="left" vertical="center" wrapText="1"/>
      <protection/>
    </xf>
    <xf numFmtId="0" fontId="6" fillId="0" borderId="44" xfId="62" applyFont="1" applyFill="1" applyBorder="1" applyAlignment="1">
      <alignment horizontal="left" vertical="center" wrapText="1"/>
      <protection/>
    </xf>
    <xf numFmtId="0" fontId="18" fillId="0" borderId="16" xfId="62" applyFont="1" applyFill="1" applyBorder="1" applyAlignment="1">
      <alignment horizontal="center" vertical="center"/>
      <protection/>
    </xf>
    <xf numFmtId="0" fontId="19" fillId="0" borderId="16" xfId="62" applyFont="1" applyFill="1" applyBorder="1" applyAlignment="1">
      <alignment horizontal="center" vertical="center"/>
      <protection/>
    </xf>
    <xf numFmtId="0" fontId="22" fillId="0" borderId="111" xfId="62" applyNumberFormat="1" applyFont="1" applyFill="1" applyBorder="1" applyAlignment="1">
      <alignment horizontal="center" vertical="distributed" textRotation="255" wrapText="1"/>
      <protection/>
    </xf>
    <xf numFmtId="0" fontId="22" fillId="0" borderId="114" xfId="62" applyNumberFormat="1" applyFont="1" applyFill="1" applyBorder="1" applyAlignment="1">
      <alignment horizontal="center" vertical="distributed" textRotation="255" wrapText="1"/>
      <protection/>
    </xf>
    <xf numFmtId="0" fontId="22" fillId="0" borderId="79" xfId="62" applyNumberFormat="1" applyFont="1" applyFill="1" applyBorder="1" applyAlignment="1">
      <alignment horizontal="center" vertical="distributed" textRotation="255" wrapText="1"/>
      <protection/>
    </xf>
    <xf numFmtId="0" fontId="22" fillId="0" borderId="58" xfId="62" applyNumberFormat="1" applyFont="1" applyFill="1" applyBorder="1" applyAlignment="1">
      <alignment horizontal="center" vertical="center" textRotation="255" wrapText="1"/>
      <protection/>
    </xf>
    <xf numFmtId="0" fontId="22" fillId="0" borderId="113" xfId="62" applyNumberFormat="1" applyFont="1" applyFill="1" applyBorder="1" applyAlignment="1">
      <alignment horizontal="center" vertical="center" textRotation="255" wrapText="1"/>
      <protection/>
    </xf>
    <xf numFmtId="0" fontId="22" fillId="0" borderId="65" xfId="62" applyNumberFormat="1" applyFont="1" applyFill="1" applyBorder="1" applyAlignment="1">
      <alignment horizontal="center" vertical="center" wrapText="1"/>
      <protection/>
    </xf>
    <xf numFmtId="0" fontId="22" fillId="0" borderId="52" xfId="62" applyNumberFormat="1" applyFont="1" applyFill="1" applyBorder="1" applyAlignment="1">
      <alignment horizontal="center" vertical="center" wrapText="1"/>
      <protection/>
    </xf>
    <xf numFmtId="0" fontId="6" fillId="0" borderId="49" xfId="62" applyNumberFormat="1" applyFont="1" applyFill="1" applyBorder="1" applyAlignment="1">
      <alignment horizontal="center" vertical="distributed" textRotation="255"/>
      <protection/>
    </xf>
    <xf numFmtId="0" fontId="3" fillId="0" borderId="58" xfId="62" applyNumberFormat="1" applyFont="1" applyFill="1" applyBorder="1" applyAlignment="1">
      <alignment horizontal="center" vertical="distributed" textRotation="255"/>
      <protection/>
    </xf>
    <xf numFmtId="0" fontId="3" fillId="0" borderId="113" xfId="62" applyNumberFormat="1" applyFont="1" applyFill="1" applyBorder="1" applyAlignment="1">
      <alignment horizontal="center" vertical="distributed" textRotation="255"/>
      <protection/>
    </xf>
    <xf numFmtId="0" fontId="3" fillId="0" borderId="14" xfId="62" applyNumberFormat="1" applyFont="1" applyFill="1" applyBorder="1" applyAlignment="1">
      <alignment horizontal="center" vertical="center" wrapText="1"/>
      <protection/>
    </xf>
    <xf numFmtId="49" fontId="22" fillId="0" borderId="74" xfId="62" applyNumberFormat="1" applyFont="1" applyFill="1" applyBorder="1" applyAlignment="1">
      <alignment horizontal="center" vertical="center" wrapText="1"/>
      <protection/>
    </xf>
    <xf numFmtId="49" fontId="22" fillId="0" borderId="115" xfId="62" applyNumberFormat="1" applyFont="1" applyFill="1" applyBorder="1" applyAlignment="1">
      <alignment horizontal="center" vertical="center" wrapText="1"/>
      <protection/>
    </xf>
    <xf numFmtId="49" fontId="22" fillId="0" borderId="46" xfId="62" applyNumberFormat="1" applyFont="1" applyFill="1" applyBorder="1" applyAlignment="1">
      <alignment horizontal="center" vertical="center" wrapText="1"/>
      <protection/>
    </xf>
    <xf numFmtId="49" fontId="22" fillId="0" borderId="51" xfId="62" applyNumberFormat="1" applyFont="1" applyFill="1" applyBorder="1" applyAlignment="1">
      <alignment horizontal="center" vertical="center" wrapText="1"/>
      <protection/>
    </xf>
    <xf numFmtId="0" fontId="22" fillId="0" borderId="50" xfId="62" applyNumberFormat="1" applyFont="1" applyFill="1" applyBorder="1" applyAlignment="1">
      <alignment horizontal="left" vertical="center" wrapText="1"/>
      <protection/>
    </xf>
    <xf numFmtId="0" fontId="22" fillId="0" borderId="18" xfId="62" applyNumberFormat="1" applyFont="1" applyFill="1" applyBorder="1" applyAlignment="1">
      <alignment horizontal="left" vertical="center" wrapText="1"/>
      <protection/>
    </xf>
    <xf numFmtId="0" fontId="21" fillId="0" borderId="0" xfId="62" applyNumberFormat="1" applyFont="1" applyFill="1" applyBorder="1" applyAlignment="1">
      <alignment horizontal="center" vertical="center"/>
      <protection/>
    </xf>
    <xf numFmtId="49" fontId="22" fillId="0" borderId="111" xfId="62" applyNumberFormat="1" applyFont="1" applyFill="1" applyBorder="1" applyAlignment="1">
      <alignment horizontal="center" vertical="center" wrapText="1"/>
      <protection/>
    </xf>
    <xf numFmtId="49" fontId="22" fillId="0" borderId="18" xfId="62" applyNumberFormat="1" applyFont="1" applyFill="1" applyBorder="1" applyAlignment="1">
      <alignment horizontal="center" vertical="center" wrapText="1"/>
      <protection/>
    </xf>
    <xf numFmtId="49" fontId="22" fillId="0" borderId="114" xfId="62" applyNumberFormat="1" applyFont="1" applyFill="1" applyBorder="1" applyAlignment="1">
      <alignment horizontal="center" vertical="center" wrapText="1"/>
      <protection/>
    </xf>
    <xf numFmtId="49" fontId="22" fillId="0" borderId="19" xfId="62" applyNumberFormat="1" applyFont="1" applyFill="1" applyBorder="1" applyAlignment="1">
      <alignment horizontal="center" vertical="center" wrapText="1"/>
      <protection/>
    </xf>
    <xf numFmtId="49" fontId="22" fillId="0" borderId="79" xfId="62" applyNumberFormat="1" applyFont="1" applyFill="1" applyBorder="1" applyAlignment="1">
      <alignment horizontal="center" vertical="center" wrapText="1"/>
      <protection/>
    </xf>
    <xf numFmtId="49" fontId="22" fillId="0" borderId="61" xfId="62" applyNumberFormat="1" applyFont="1" applyFill="1" applyBorder="1" applyAlignment="1">
      <alignment horizontal="center" vertical="center" wrapText="1"/>
      <protection/>
    </xf>
    <xf numFmtId="0" fontId="22" fillId="0" borderId="71" xfId="62" applyNumberFormat="1" applyFont="1" applyFill="1" applyBorder="1" applyAlignment="1">
      <alignment horizontal="left" vertical="center" wrapText="1"/>
      <protection/>
    </xf>
    <xf numFmtId="0" fontId="22" fillId="0" borderId="56" xfId="62" applyNumberFormat="1" applyFont="1" applyFill="1" applyBorder="1" applyAlignment="1">
      <alignment horizontal="left" vertical="center" wrapText="1"/>
      <protection/>
    </xf>
    <xf numFmtId="49" fontId="22" fillId="0" borderId="64" xfId="62" applyNumberFormat="1" applyFont="1" applyFill="1" applyBorder="1" applyAlignment="1">
      <alignment horizontal="center" vertical="center" wrapText="1"/>
      <protection/>
    </xf>
    <xf numFmtId="49" fontId="22" fillId="0" borderId="60" xfId="62" applyNumberFormat="1" applyFont="1" applyFill="1" applyBorder="1" applyAlignment="1">
      <alignment horizontal="center" vertical="center" wrapText="1"/>
      <protection/>
    </xf>
    <xf numFmtId="49" fontId="22" fillId="0" borderId="46" xfId="62" applyNumberFormat="1" applyFont="1" applyFill="1" applyBorder="1" applyAlignment="1">
      <alignment horizontal="left" vertical="center" wrapText="1"/>
      <protection/>
    </xf>
    <xf numFmtId="0" fontId="3" fillId="0" borderId="64" xfId="62" applyFill="1" applyBorder="1" applyAlignment="1">
      <alignment horizontal="left" vertical="center" wrapText="1"/>
      <protection/>
    </xf>
    <xf numFmtId="0" fontId="3" fillId="0" borderId="60" xfId="62" applyFill="1" applyBorder="1" applyAlignment="1">
      <alignment horizontal="left" vertical="center" wrapText="1"/>
      <protection/>
    </xf>
    <xf numFmtId="0" fontId="3" fillId="0" borderId="64" xfId="62" applyFill="1" applyBorder="1" applyAlignment="1">
      <alignment horizontal="center" vertical="center" wrapText="1"/>
      <protection/>
    </xf>
    <xf numFmtId="0" fontId="3" fillId="0" borderId="60" xfId="62" applyFill="1" applyBorder="1" applyAlignment="1">
      <alignment horizontal="center" vertical="center" wrapText="1"/>
      <protection/>
    </xf>
    <xf numFmtId="0" fontId="22" fillId="0" borderId="16" xfId="62" applyNumberFormat="1" applyFont="1" applyFill="1" applyBorder="1" applyAlignment="1">
      <alignment horizontal="center" vertical="center" wrapText="1"/>
      <protection/>
    </xf>
    <xf numFmtId="0" fontId="22" fillId="0" borderId="63" xfId="62" applyNumberFormat="1" applyFont="1" applyFill="1" applyBorder="1" applyAlignment="1">
      <alignment horizontal="center" vertical="center" wrapText="1"/>
      <protection/>
    </xf>
    <xf numFmtId="0" fontId="22" fillId="0" borderId="57" xfId="62" applyNumberFormat="1" applyFont="1" applyFill="1" applyBorder="1" applyAlignment="1">
      <alignment horizontal="center" vertical="center" wrapText="1"/>
      <protection/>
    </xf>
    <xf numFmtId="0" fontId="22" fillId="0" borderId="107" xfId="62" applyNumberFormat="1" applyFont="1" applyFill="1" applyBorder="1" applyAlignment="1">
      <alignment horizontal="center" vertical="center" wrapText="1"/>
      <protection/>
    </xf>
    <xf numFmtId="0" fontId="12" fillId="0" borderId="50" xfId="62" applyNumberFormat="1" applyFont="1" applyFill="1" applyBorder="1" applyAlignment="1">
      <alignment horizontal="center" vertical="center" wrapText="1"/>
      <protection/>
    </xf>
    <xf numFmtId="0" fontId="12" fillId="0" borderId="112" xfId="62" applyNumberFormat="1" applyFont="1" applyFill="1" applyBorder="1" applyAlignment="1">
      <alignment horizontal="center" vertical="center" wrapText="1"/>
      <protection/>
    </xf>
    <xf numFmtId="0" fontId="22" fillId="0" borderId="50" xfId="62" applyNumberFormat="1" applyFont="1" applyFill="1" applyBorder="1" applyAlignment="1">
      <alignment horizontal="center" vertical="center" wrapText="1"/>
      <protection/>
    </xf>
    <xf numFmtId="0" fontId="22" fillId="0" borderId="70" xfId="62" applyNumberFormat="1" applyFont="1" applyFill="1" applyBorder="1" applyAlignment="1">
      <alignment horizontal="center" vertical="center" wrapText="1"/>
      <protection/>
    </xf>
    <xf numFmtId="0" fontId="22" fillId="0" borderId="105" xfId="62" applyNumberFormat="1" applyFont="1" applyFill="1" applyBorder="1" applyAlignment="1">
      <alignment horizontal="center" vertical="center" wrapText="1"/>
      <protection/>
    </xf>
    <xf numFmtId="177" fontId="3" fillId="0" borderId="116" xfId="62" applyNumberFormat="1" applyFont="1" applyFill="1" applyBorder="1" applyAlignment="1">
      <alignment horizontal="right" vertical="center"/>
      <protection/>
    </xf>
    <xf numFmtId="177" fontId="3" fillId="0" borderId="52" xfId="62" applyNumberFormat="1" applyFont="1" applyFill="1" applyBorder="1" applyAlignment="1">
      <alignment horizontal="right" vertical="center"/>
      <protection/>
    </xf>
    <xf numFmtId="177" fontId="3" fillId="0" borderId="117" xfId="62" applyNumberFormat="1" applyFont="1" applyFill="1" applyBorder="1" applyAlignment="1">
      <alignment horizontal="right" vertical="center"/>
      <protection/>
    </xf>
    <xf numFmtId="177" fontId="3" fillId="0" borderId="45" xfId="62" applyNumberFormat="1" applyFont="1" applyFill="1" applyBorder="1" applyAlignment="1">
      <alignment horizontal="right" vertical="center"/>
      <protection/>
    </xf>
    <xf numFmtId="178" fontId="3" fillId="0" borderId="63" xfId="62" applyNumberFormat="1" applyFont="1" applyFill="1" applyBorder="1" applyAlignment="1">
      <alignment horizontal="left" vertical="center"/>
      <protection/>
    </xf>
    <xf numFmtId="178" fontId="3" fillId="0" borderId="60" xfId="62" applyNumberFormat="1" applyFont="1" applyFill="1" applyBorder="1" applyAlignment="1">
      <alignment horizontal="left" vertical="center"/>
      <protection/>
    </xf>
    <xf numFmtId="178" fontId="3" fillId="0" borderId="51" xfId="62" applyNumberFormat="1" applyFont="1" applyFill="1" applyBorder="1" applyAlignment="1">
      <alignment horizontal="left" vertical="center"/>
      <protection/>
    </xf>
    <xf numFmtId="0" fontId="6" fillId="0" borderId="74" xfId="62" applyNumberFormat="1" applyFont="1" applyFill="1" applyBorder="1" applyAlignment="1">
      <alignment horizontal="center" vertical="center" textRotation="255" wrapText="1"/>
      <protection/>
    </xf>
    <xf numFmtId="0" fontId="6" fillId="0" borderId="118" xfId="62" applyNumberFormat="1" applyFont="1" applyFill="1" applyBorder="1" applyAlignment="1">
      <alignment horizontal="center" vertical="center" textRotation="255" wrapText="1"/>
      <protection/>
    </xf>
    <xf numFmtId="0" fontId="6" fillId="0" borderId="59" xfId="62" applyNumberFormat="1" applyFont="1" applyFill="1" applyBorder="1" applyAlignment="1">
      <alignment horizontal="center" vertical="center" textRotation="255" wrapText="1"/>
      <protection/>
    </xf>
    <xf numFmtId="0" fontId="6" fillId="0" borderId="65" xfId="62" applyNumberFormat="1" applyFont="1" applyFill="1" applyBorder="1" applyAlignment="1">
      <alignment horizontal="left" vertical="distributed" wrapText="1"/>
      <protection/>
    </xf>
    <xf numFmtId="0" fontId="6" fillId="0" borderId="119" xfId="62" applyNumberFormat="1" applyFont="1" applyFill="1" applyBorder="1" applyAlignment="1">
      <alignment horizontal="left" vertical="distributed" wrapText="1"/>
      <protection/>
    </xf>
    <xf numFmtId="0" fontId="6" fillId="0" borderId="120" xfId="62" applyNumberFormat="1" applyFont="1" applyFill="1" applyBorder="1" applyAlignment="1">
      <alignment horizontal="left" vertical="distributed" wrapText="1"/>
      <protection/>
    </xf>
    <xf numFmtId="0" fontId="6" fillId="0" borderId="18" xfId="62" applyNumberFormat="1" applyFont="1" applyFill="1" applyBorder="1" applyAlignment="1">
      <alignment horizontal="distributed" vertical="center" wrapText="1"/>
      <protection/>
    </xf>
    <xf numFmtId="0" fontId="6" fillId="0" borderId="19" xfId="62" applyNumberFormat="1" applyFont="1" applyFill="1" applyBorder="1" applyAlignment="1">
      <alignment horizontal="distributed" vertical="center" wrapText="1"/>
      <protection/>
    </xf>
    <xf numFmtId="0" fontId="6" fillId="0" borderId="56" xfId="62" applyNumberFormat="1" applyFont="1" applyFill="1" applyBorder="1" applyAlignment="1">
      <alignment horizontal="distributed" vertical="center" wrapText="1"/>
      <protection/>
    </xf>
    <xf numFmtId="0" fontId="6" fillId="0" borderId="68" xfId="62" applyNumberFormat="1" applyFont="1" applyFill="1" applyBorder="1" applyAlignment="1">
      <alignment horizontal="distributed" vertical="center" wrapText="1"/>
      <protection/>
    </xf>
    <xf numFmtId="0" fontId="6" fillId="0" borderId="10" xfId="62" applyNumberFormat="1" applyFont="1" applyFill="1" applyBorder="1" applyAlignment="1">
      <alignment horizontal="distributed" vertical="center" wrapText="1"/>
      <protection/>
    </xf>
    <xf numFmtId="0" fontId="6" fillId="0" borderId="49" xfId="62" applyFont="1" applyFill="1" applyBorder="1" applyAlignment="1">
      <alignment horizontal="left" vertical="distributed" wrapText="1"/>
      <protection/>
    </xf>
    <xf numFmtId="0" fontId="6" fillId="0" borderId="58" xfId="62" applyFont="1" applyFill="1" applyBorder="1" applyAlignment="1">
      <alignment horizontal="left" vertical="distributed" wrapText="1"/>
      <protection/>
    </xf>
    <xf numFmtId="0" fontId="6" fillId="0" borderId="113" xfId="62" applyFont="1" applyFill="1" applyBorder="1" applyAlignment="1">
      <alignment horizontal="left" vertical="distributed" wrapText="1"/>
      <protection/>
    </xf>
    <xf numFmtId="0" fontId="26" fillId="0" borderId="111" xfId="62" applyFont="1" applyFill="1" applyBorder="1" applyAlignment="1">
      <alignment horizontal="center" vertical="center"/>
      <protection/>
    </xf>
    <xf numFmtId="0" fontId="3" fillId="0" borderId="15" xfId="62" applyFont="1" applyFill="1" applyBorder="1">
      <alignment/>
      <protection/>
    </xf>
    <xf numFmtId="0" fontId="3" fillId="0" borderId="112" xfId="62" applyFont="1" applyFill="1" applyBorder="1">
      <alignment/>
      <protection/>
    </xf>
    <xf numFmtId="0" fontId="3" fillId="0" borderId="114" xfId="62" applyFont="1" applyFill="1" applyBorder="1">
      <alignment/>
      <protection/>
    </xf>
    <xf numFmtId="0" fontId="3" fillId="0" borderId="0" xfId="62" applyFont="1" applyFill="1" applyBorder="1">
      <alignment/>
      <protection/>
    </xf>
    <xf numFmtId="0" fontId="3" fillId="0" borderId="117" xfId="62" applyFont="1" applyFill="1" applyBorder="1">
      <alignment/>
      <protection/>
    </xf>
    <xf numFmtId="0" fontId="3" fillId="0" borderId="79" xfId="62" applyFont="1" applyFill="1" applyBorder="1">
      <alignment/>
      <protection/>
    </xf>
    <xf numFmtId="0" fontId="3" fillId="0" borderId="10" xfId="62" applyFont="1" applyFill="1" applyBorder="1">
      <alignment/>
      <protection/>
    </xf>
    <xf numFmtId="0" fontId="3" fillId="0" borderId="45" xfId="62" applyFont="1" applyFill="1" applyBorder="1">
      <alignment/>
      <protection/>
    </xf>
    <xf numFmtId="0" fontId="6" fillId="0" borderId="85" xfId="62" applyNumberFormat="1" applyFont="1" applyFill="1" applyBorder="1" applyAlignment="1">
      <alignment horizontal="distributed" vertical="center" wrapText="1"/>
      <protection/>
    </xf>
    <xf numFmtId="0" fontId="6" fillId="0" borderId="59" xfId="62" applyNumberFormat="1" applyFont="1" applyFill="1" applyBorder="1" applyAlignment="1">
      <alignment horizontal="distributed" vertical="center" wrapText="1"/>
      <protection/>
    </xf>
    <xf numFmtId="178" fontId="3" fillId="0" borderId="64" xfId="62" applyNumberFormat="1" applyFont="1" applyFill="1" applyBorder="1" applyAlignment="1">
      <alignment vertical="center"/>
      <protection/>
    </xf>
    <xf numFmtId="178" fontId="3" fillId="0" borderId="60" xfId="62" applyNumberFormat="1" applyFont="1" applyFill="1" applyBorder="1" applyAlignment="1">
      <alignment vertical="center"/>
      <protection/>
    </xf>
    <xf numFmtId="0" fontId="6" fillId="0" borderId="74" xfId="62" applyNumberFormat="1" applyFont="1" applyFill="1" applyBorder="1" applyAlignment="1">
      <alignment horizontal="distributed" vertical="center" wrapText="1"/>
      <protection/>
    </xf>
    <xf numFmtId="0" fontId="6" fillId="0" borderId="118" xfId="62" applyNumberFormat="1" applyFont="1" applyFill="1" applyBorder="1" applyAlignment="1">
      <alignment horizontal="distributed" vertical="center" wrapText="1"/>
      <protection/>
    </xf>
    <xf numFmtId="0" fontId="6" fillId="0" borderId="115" xfId="62" applyNumberFormat="1" applyFont="1" applyFill="1" applyBorder="1" applyAlignment="1">
      <alignment horizontal="distributed" vertical="center" wrapText="1"/>
      <protection/>
    </xf>
    <xf numFmtId="178" fontId="3" fillId="0" borderId="63" xfId="62" applyNumberFormat="1" applyFont="1" applyFill="1" applyBorder="1" applyAlignment="1">
      <alignment vertical="center"/>
      <protection/>
    </xf>
    <xf numFmtId="178" fontId="3" fillId="0" borderId="51" xfId="62" applyNumberFormat="1" applyFont="1" applyFill="1" applyBorder="1" applyAlignment="1">
      <alignment vertical="center"/>
      <protection/>
    </xf>
    <xf numFmtId="177" fontId="3" fillId="0" borderId="119" xfId="62" applyNumberFormat="1" applyFont="1" applyFill="1" applyBorder="1" applyAlignment="1">
      <alignment horizontal="right" vertical="center"/>
      <protection/>
    </xf>
    <xf numFmtId="177" fontId="3" fillId="0" borderId="120" xfId="62" applyNumberFormat="1" applyFont="1" applyFill="1" applyBorder="1" applyAlignment="1">
      <alignment horizontal="right" vertical="center"/>
      <protection/>
    </xf>
    <xf numFmtId="0" fontId="6" fillId="0" borderId="50" xfId="62" applyNumberFormat="1" applyFont="1" applyFill="1" applyBorder="1" applyAlignment="1">
      <alignment horizontal="center" vertical="center" wrapText="1"/>
      <protection/>
    </xf>
    <xf numFmtId="0" fontId="6" fillId="0" borderId="105" xfId="62" applyNumberFormat="1" applyFont="1" applyFill="1" applyBorder="1" applyAlignment="1">
      <alignment horizontal="center" vertical="center" wrapText="1"/>
      <protection/>
    </xf>
    <xf numFmtId="0" fontId="3" fillId="0" borderId="46" xfId="62" applyNumberFormat="1" applyFont="1" applyFill="1" applyBorder="1" applyAlignment="1">
      <alignment horizontal="left" vertical="center" wrapText="1"/>
      <protection/>
    </xf>
    <xf numFmtId="0" fontId="3" fillId="0" borderId="64" xfId="62" applyNumberFormat="1" applyFont="1" applyFill="1" applyBorder="1" applyAlignment="1">
      <alignment horizontal="left" vertical="center" wrapText="1"/>
      <protection/>
    </xf>
    <xf numFmtId="0" fontId="6" fillId="0" borderId="70" xfId="62" applyNumberFormat="1" applyFont="1" applyFill="1" applyBorder="1" applyAlignment="1">
      <alignment horizontal="center" vertical="center" wrapText="1"/>
      <protection/>
    </xf>
    <xf numFmtId="49" fontId="6" fillId="0" borderId="74" xfId="62" applyNumberFormat="1" applyFont="1" applyFill="1" applyBorder="1" applyAlignment="1">
      <alignment horizontal="center" vertical="center" wrapText="1"/>
      <protection/>
    </xf>
    <xf numFmtId="49" fontId="6" fillId="0" borderId="59" xfId="62" applyNumberFormat="1" applyFont="1" applyFill="1" applyBorder="1" applyAlignment="1">
      <alignment horizontal="center" vertical="center" wrapText="1"/>
      <protection/>
    </xf>
    <xf numFmtId="49" fontId="6" fillId="0" borderId="46" xfId="62" applyNumberFormat="1" applyFont="1" applyFill="1" applyBorder="1" applyAlignment="1">
      <alignment horizontal="center" vertical="center" wrapText="1"/>
      <protection/>
    </xf>
    <xf numFmtId="49" fontId="6" fillId="0" borderId="60" xfId="62" applyNumberFormat="1" applyFont="1" applyFill="1" applyBorder="1" applyAlignment="1">
      <alignment horizontal="center" vertical="center" wrapText="1"/>
      <protection/>
    </xf>
    <xf numFmtId="0" fontId="3" fillId="0" borderId="60" xfId="62" applyNumberFormat="1" applyFont="1" applyFill="1" applyBorder="1" applyAlignment="1">
      <alignment horizontal="left" vertical="center" wrapText="1"/>
      <protection/>
    </xf>
    <xf numFmtId="0" fontId="6" fillId="0" borderId="49" xfId="62" applyNumberFormat="1" applyFont="1" applyFill="1" applyBorder="1" applyAlignment="1">
      <alignment horizontal="center" vertical="center" textRotation="255" wrapText="1"/>
      <protection/>
    </xf>
    <xf numFmtId="0" fontId="3" fillId="0" borderId="58" xfId="62" applyFill="1" applyBorder="1" applyAlignment="1">
      <alignment horizontal="center" vertical="center" textRotation="255" wrapText="1"/>
      <protection/>
    </xf>
    <xf numFmtId="0" fontId="3" fillId="0" borderId="113" xfId="62" applyFill="1" applyBorder="1" applyAlignment="1">
      <alignment horizontal="center" vertical="center" textRotation="255" wrapText="1"/>
      <protection/>
    </xf>
    <xf numFmtId="0" fontId="3" fillId="0" borderId="49" xfId="62" applyNumberFormat="1" applyFont="1" applyFill="1" applyBorder="1" applyAlignment="1">
      <alignment horizontal="center" vertical="center" textRotation="255" wrapText="1"/>
      <protection/>
    </xf>
    <xf numFmtId="0" fontId="3" fillId="0" borderId="113" xfId="62" applyNumberFormat="1" applyFont="1" applyFill="1" applyBorder="1" applyAlignment="1">
      <alignment horizontal="center" vertical="center" textRotation="255" wrapText="1"/>
      <protection/>
    </xf>
    <xf numFmtId="0" fontId="12" fillId="0" borderId="10" xfId="62" applyNumberFormat="1" applyFont="1" applyFill="1" applyBorder="1" applyAlignment="1">
      <alignment horizontal="center" vertical="center" wrapText="1"/>
      <protection/>
    </xf>
    <xf numFmtId="49" fontId="6" fillId="0" borderId="118" xfId="62" applyNumberFormat="1" applyFont="1" applyFill="1" applyBorder="1" applyAlignment="1">
      <alignment horizontal="center" vertical="center" wrapText="1"/>
      <protection/>
    </xf>
    <xf numFmtId="49" fontId="6" fillId="0" borderId="64" xfId="62" applyNumberFormat="1" applyFont="1" applyFill="1" applyBorder="1" applyAlignment="1">
      <alignment horizontal="center" vertical="center" wrapText="1"/>
      <protection/>
    </xf>
    <xf numFmtId="0" fontId="6" fillId="0" borderId="58" xfId="62" applyNumberFormat="1" applyFont="1" applyFill="1" applyBorder="1" applyAlignment="1">
      <alignment horizontal="center" vertical="distributed" textRotation="255"/>
      <protection/>
    </xf>
    <xf numFmtId="0" fontId="0" fillId="0" borderId="58" xfId="0" applyBorder="1" applyAlignment="1">
      <alignment horizontal="center" vertical="distributed" textRotation="255"/>
    </xf>
    <xf numFmtId="0" fontId="0" fillId="0" borderId="113" xfId="0" applyBorder="1" applyAlignment="1">
      <alignment horizontal="center" vertical="distributed" textRotation="255"/>
    </xf>
    <xf numFmtId="0" fontId="6" fillId="0" borderId="16" xfId="62" applyFont="1" applyFill="1" applyBorder="1" applyAlignment="1">
      <alignment horizontal="distributed" vertical="center" wrapText="1"/>
      <protection/>
    </xf>
    <xf numFmtId="0" fontId="6" fillId="0" borderId="17" xfId="62" applyFont="1" applyFill="1" applyBorder="1" applyAlignment="1">
      <alignment horizontal="distributed" vertical="center"/>
      <protection/>
    </xf>
    <xf numFmtId="0" fontId="3" fillId="0" borderId="67" xfId="62" applyFill="1" applyBorder="1" applyAlignment="1">
      <alignment horizontal="distributed" vertical="center"/>
      <protection/>
    </xf>
    <xf numFmtId="0" fontId="6" fillId="0" borderId="63" xfId="62" applyFont="1" applyFill="1" applyBorder="1" applyAlignment="1">
      <alignment horizontal="center" vertical="center" textRotation="255"/>
      <protection/>
    </xf>
    <xf numFmtId="0" fontId="3" fillId="0" borderId="64" xfId="62" applyFill="1" applyBorder="1" applyAlignment="1">
      <alignment horizontal="center" vertical="center" textRotation="255"/>
      <protection/>
    </xf>
    <xf numFmtId="0" fontId="3" fillId="0" borderId="51" xfId="62" applyFill="1" applyBorder="1" applyAlignment="1">
      <alignment horizontal="center" vertical="center" textRotation="255"/>
      <protection/>
    </xf>
    <xf numFmtId="0" fontId="6" fillId="0" borderId="17" xfId="62" applyFont="1" applyFill="1" applyBorder="1" applyAlignment="1">
      <alignment horizontal="distributed" vertical="center" wrapText="1"/>
      <protection/>
    </xf>
    <xf numFmtId="0" fontId="6" fillId="0" borderId="27" xfId="62" applyFont="1" applyFill="1" applyBorder="1" applyAlignment="1">
      <alignment horizontal="distributed" vertical="center" wrapText="1"/>
      <protection/>
    </xf>
    <xf numFmtId="0" fontId="6" fillId="0" borderId="63" xfId="62" applyFont="1" applyFill="1" applyBorder="1" applyAlignment="1">
      <alignment horizontal="distributed" vertical="center" wrapText="1"/>
      <protection/>
    </xf>
    <xf numFmtId="0" fontId="3" fillId="0" borderId="51" xfId="62" applyFill="1" applyBorder="1" applyAlignment="1">
      <alignment horizontal="distributed" vertical="center" wrapText="1"/>
      <protection/>
    </xf>
    <xf numFmtId="0" fontId="6" fillId="0" borderId="66" xfId="62" applyFont="1" applyFill="1" applyBorder="1" applyAlignment="1">
      <alignment horizontal="distributed" vertical="center" wrapText="1"/>
      <protection/>
    </xf>
    <xf numFmtId="0" fontId="3" fillId="0" borderId="71" xfId="62" applyFill="1" applyBorder="1" applyAlignment="1">
      <alignment horizontal="distributed" vertical="center" wrapText="1"/>
      <protection/>
    </xf>
    <xf numFmtId="178" fontId="6" fillId="0" borderId="63" xfId="62" applyNumberFormat="1" applyFont="1" applyFill="1" applyBorder="1" applyAlignment="1">
      <alignment horizontal="distributed" vertical="center"/>
      <protection/>
    </xf>
    <xf numFmtId="178" fontId="3" fillId="0" borderId="60" xfId="62" applyNumberFormat="1" applyFont="1" applyFill="1" applyBorder="1" applyAlignment="1">
      <alignment horizontal="distributed" vertical="center"/>
      <protection/>
    </xf>
    <xf numFmtId="0" fontId="6" fillId="0" borderId="17" xfId="62" applyFont="1" applyFill="1" applyBorder="1" applyAlignment="1">
      <alignment horizontal="center" vertical="center"/>
      <protection/>
    </xf>
    <xf numFmtId="0" fontId="3" fillId="0" borderId="67" xfId="62" applyFill="1" applyBorder="1" applyAlignment="1">
      <alignment horizontal="center" vertical="center"/>
      <protection/>
    </xf>
    <xf numFmtId="0" fontId="3" fillId="0" borderId="27" xfId="62" applyFill="1" applyBorder="1" applyAlignment="1">
      <alignment horizontal="center" vertical="center"/>
      <protection/>
    </xf>
    <xf numFmtId="0" fontId="6" fillId="0" borderId="16" xfId="62" applyFont="1" applyFill="1" applyBorder="1" applyAlignment="1">
      <alignment horizontal="center" vertical="center" textRotation="255"/>
      <protection/>
    </xf>
    <xf numFmtId="0" fontId="3" fillId="0" borderId="16" xfId="62" applyFill="1" applyBorder="1" applyAlignment="1">
      <alignment horizontal="center" vertical="center"/>
      <protection/>
    </xf>
    <xf numFmtId="0" fontId="6" fillId="0" borderId="17" xfId="62" applyFont="1" applyFill="1" applyBorder="1" applyAlignment="1">
      <alignment horizontal="center" wrapText="1"/>
      <protection/>
    </xf>
    <xf numFmtId="0" fontId="6" fillId="0" borderId="27" xfId="62" applyFont="1" applyFill="1" applyBorder="1" applyAlignment="1">
      <alignment horizontal="center" wrapText="1"/>
      <protection/>
    </xf>
    <xf numFmtId="0" fontId="6" fillId="0" borderId="17" xfId="62" applyFont="1" applyFill="1" applyBorder="1" applyAlignment="1">
      <alignment horizontal="center" vertical="center" wrapText="1"/>
      <protection/>
    </xf>
    <xf numFmtId="0" fontId="6" fillId="0" borderId="27" xfId="62" applyFont="1" applyFill="1" applyBorder="1" applyAlignment="1">
      <alignment horizontal="center" vertical="center" wrapText="1"/>
      <protection/>
    </xf>
    <xf numFmtId="178" fontId="6" fillId="0" borderId="62" xfId="62" applyNumberFormat="1" applyFont="1" applyFill="1" applyBorder="1" applyAlignment="1">
      <alignment horizontal="distributed" vertical="center" wrapText="1"/>
      <protection/>
    </xf>
    <xf numFmtId="178" fontId="6" fillId="0" borderId="56" xfId="62" applyNumberFormat="1" applyFont="1" applyFill="1" applyBorder="1" applyAlignment="1">
      <alignment horizontal="distributed" vertical="center" wrapText="1"/>
      <protection/>
    </xf>
    <xf numFmtId="0" fontId="3" fillId="0" borderId="16" xfId="62" applyFill="1" applyBorder="1" applyAlignment="1">
      <alignment horizontal="center" vertical="center" wrapText="1"/>
      <protection/>
    </xf>
    <xf numFmtId="178" fontId="6" fillId="0" borderId="60" xfId="62" applyNumberFormat="1" applyFont="1" applyFill="1" applyBorder="1" applyAlignment="1">
      <alignment horizontal="distributed" vertical="center"/>
      <protection/>
    </xf>
    <xf numFmtId="0" fontId="26" fillId="0" borderId="15" xfId="62" applyFont="1" applyFill="1" applyBorder="1" applyAlignment="1">
      <alignment horizontal="center" vertical="center"/>
      <protection/>
    </xf>
    <xf numFmtId="0" fontId="26" fillId="0" borderId="112" xfId="62" applyFont="1" applyFill="1" applyBorder="1" applyAlignment="1">
      <alignment horizontal="center" vertical="center"/>
      <protection/>
    </xf>
    <xf numFmtId="0" fontId="26" fillId="0" borderId="114" xfId="62" applyFont="1" applyFill="1" applyBorder="1" applyAlignment="1">
      <alignment horizontal="center" vertical="center"/>
      <protection/>
    </xf>
    <xf numFmtId="0" fontId="26" fillId="0" borderId="0" xfId="62" applyFont="1" applyFill="1" applyBorder="1" applyAlignment="1">
      <alignment horizontal="center" vertical="center"/>
      <protection/>
    </xf>
    <xf numFmtId="0" fontId="26" fillId="0" borderId="117" xfId="62" applyFont="1" applyFill="1" applyBorder="1" applyAlignment="1">
      <alignment horizontal="center" vertical="center"/>
      <protection/>
    </xf>
    <xf numFmtId="0" fontId="26" fillId="0" borderId="79" xfId="62" applyFont="1" applyFill="1" applyBorder="1" applyAlignment="1">
      <alignment horizontal="center" vertical="center"/>
      <protection/>
    </xf>
    <xf numFmtId="0" fontId="26" fillId="0" borderId="10" xfId="62" applyFont="1" applyFill="1" applyBorder="1" applyAlignment="1">
      <alignment horizontal="center" vertical="center"/>
      <protection/>
    </xf>
    <xf numFmtId="0" fontId="26" fillId="0" borderId="45" xfId="62" applyFont="1" applyFill="1" applyBorder="1" applyAlignment="1">
      <alignment horizontal="center" vertical="center"/>
      <protection/>
    </xf>
    <xf numFmtId="38" fontId="3" fillId="0" borderId="16" xfId="48" applyFont="1" applyFill="1" applyBorder="1" applyAlignment="1">
      <alignment horizontal="center" vertical="center"/>
    </xf>
    <xf numFmtId="0" fontId="31" fillId="0" borderId="16" xfId="62" applyFont="1" applyFill="1" applyBorder="1" applyAlignment="1">
      <alignment horizontal="center" vertical="distributed" textRotation="255"/>
      <protection/>
    </xf>
    <xf numFmtId="0" fontId="6" fillId="0" borderId="27" xfId="62" applyFont="1" applyFill="1" applyBorder="1" applyAlignment="1">
      <alignment horizontal="center" vertical="center"/>
      <protection/>
    </xf>
    <xf numFmtId="0" fontId="31" fillId="0" borderId="63" xfId="62" applyFont="1" applyFill="1" applyBorder="1" applyAlignment="1">
      <alignment horizontal="center" vertical="top" textRotation="255" wrapText="1"/>
      <protection/>
    </xf>
    <xf numFmtId="0" fontId="32" fillId="0" borderId="64" xfId="62" applyFont="1" applyFill="1" applyBorder="1">
      <alignment/>
      <protection/>
    </xf>
    <xf numFmtId="0" fontId="32" fillId="0" borderId="51" xfId="62" applyFont="1" applyFill="1" applyBorder="1">
      <alignment/>
      <protection/>
    </xf>
    <xf numFmtId="0" fontId="32" fillId="0" borderId="64" xfId="62" applyFont="1" applyFill="1" applyBorder="1" applyAlignment="1">
      <alignment vertical="top" textRotation="255"/>
      <protection/>
    </xf>
    <xf numFmtId="0" fontId="32" fillId="0" borderId="51" xfId="62" applyFont="1" applyFill="1" applyBorder="1" applyAlignment="1">
      <alignment vertical="top" textRotation="255"/>
      <protection/>
    </xf>
    <xf numFmtId="0" fontId="6" fillId="0" borderId="16" xfId="62" applyFont="1" applyFill="1" applyBorder="1" applyAlignment="1">
      <alignment horizontal="center" vertical="center"/>
      <protection/>
    </xf>
    <xf numFmtId="0" fontId="6" fillId="0" borderId="67" xfId="62" applyFont="1" applyFill="1" applyBorder="1" applyAlignment="1">
      <alignment horizontal="center" vertical="center"/>
      <protection/>
    </xf>
    <xf numFmtId="181" fontId="109" fillId="0" borderId="51" xfId="60" applyNumberFormat="1" applyFont="1" applyBorder="1" applyAlignment="1">
      <alignment horizontal="center" vertical="center"/>
      <protection/>
    </xf>
    <xf numFmtId="0" fontId="107" fillId="0" borderId="63" xfId="60" applyFont="1" applyBorder="1" applyAlignment="1" quotePrefix="1">
      <alignment vertical="center"/>
      <protection/>
    </xf>
    <xf numFmtId="0" fontId="107" fillId="0" borderId="63" xfId="60" applyFont="1" applyBorder="1" applyAlignment="1">
      <alignment vertical="center"/>
      <protection/>
    </xf>
    <xf numFmtId="181" fontId="109" fillId="0" borderId="64" xfId="60" applyNumberFormat="1" applyFont="1" applyBorder="1" applyAlignment="1">
      <alignment horizontal="center" vertical="center"/>
      <protection/>
    </xf>
    <xf numFmtId="0" fontId="110" fillId="0" borderId="63" xfId="60" applyFont="1" applyBorder="1" applyAlignment="1">
      <alignment vertical="center" shrinkToFit="1"/>
      <protection/>
    </xf>
    <xf numFmtId="0" fontId="89" fillId="0" borderId="64" xfId="60" applyFont="1" applyBorder="1" applyAlignment="1">
      <alignment horizontal="center" vertical="center"/>
      <protection/>
    </xf>
    <xf numFmtId="0" fontId="107" fillId="0" borderId="64" xfId="60" applyFont="1" applyBorder="1" applyAlignment="1">
      <alignment vertical="center"/>
      <protection/>
    </xf>
    <xf numFmtId="0" fontId="111" fillId="0" borderId="66" xfId="60" applyFont="1" applyBorder="1" applyAlignment="1">
      <alignment vertical="center" shrinkToFit="1"/>
      <protection/>
    </xf>
    <xf numFmtId="0" fontId="111" fillId="0" borderId="62" xfId="60" applyFont="1" applyBorder="1" applyAlignment="1">
      <alignment vertical="center" shrinkToFit="1"/>
      <protection/>
    </xf>
    <xf numFmtId="0" fontId="89" fillId="0" borderId="71" xfId="60" applyFont="1" applyBorder="1" applyAlignment="1">
      <alignment horizontal="center" vertical="center"/>
      <protection/>
    </xf>
    <xf numFmtId="0" fontId="89" fillId="0" borderId="56" xfId="60" applyFont="1" applyBorder="1" applyAlignment="1">
      <alignment horizontal="center" vertical="center"/>
      <protection/>
    </xf>
    <xf numFmtId="0" fontId="89" fillId="0" borderId="63" xfId="60" applyFont="1" applyBorder="1" applyAlignment="1">
      <alignment horizontal="center" vertical="center"/>
      <protection/>
    </xf>
    <xf numFmtId="0" fontId="89" fillId="0" borderId="51" xfId="60" applyFont="1" applyBorder="1" applyAlignment="1">
      <alignment horizontal="center" vertical="center"/>
      <protection/>
    </xf>
    <xf numFmtId="0" fontId="89" fillId="0" borderId="16" xfId="60" applyFont="1" applyBorder="1" applyAlignment="1">
      <alignment horizontal="center" vertical="center" wrapText="1"/>
      <protection/>
    </xf>
    <xf numFmtId="0" fontId="89" fillId="0" borderId="16" xfId="60" applyFont="1" applyBorder="1" applyAlignment="1">
      <alignment horizontal="center" vertical="center"/>
      <protection/>
    </xf>
    <xf numFmtId="0" fontId="49" fillId="0" borderId="16" xfId="61" applyFont="1" applyBorder="1" applyAlignment="1" applyProtection="1">
      <alignment horizontal="center" vertical="center"/>
      <protection hidden="1"/>
    </xf>
    <xf numFmtId="0" fontId="89" fillId="0" borderId="17" xfId="60" applyFont="1" applyBorder="1" applyAlignment="1">
      <alignment horizontal="center" vertical="center"/>
      <protection/>
    </xf>
    <xf numFmtId="0" fontId="89" fillId="0" borderId="27" xfId="60" applyFont="1" applyBorder="1" applyAlignment="1">
      <alignment horizontal="center" vertical="center"/>
      <protection/>
    </xf>
    <xf numFmtId="0" fontId="89" fillId="0" borderId="63" xfId="60" applyFont="1" applyBorder="1" applyAlignment="1">
      <alignment horizontal="right" vertical="center"/>
      <protection/>
    </xf>
    <xf numFmtId="0" fontId="89" fillId="0" borderId="17" xfId="60" applyFont="1" applyBorder="1" applyAlignment="1">
      <alignment vertical="center" wrapText="1"/>
      <protection/>
    </xf>
    <xf numFmtId="0" fontId="89" fillId="0" borderId="67" xfId="60" applyFont="1" applyBorder="1" applyAlignment="1">
      <alignment vertical="center"/>
      <protection/>
    </xf>
    <xf numFmtId="0" fontId="89" fillId="0" borderId="27" xfId="60" applyFont="1" applyBorder="1" applyAlignment="1">
      <alignment vertical="center"/>
      <protection/>
    </xf>
    <xf numFmtId="0" fontId="89" fillId="0" borderId="16" xfId="60" applyFont="1" applyBorder="1" applyAlignment="1">
      <alignment horizontal="distributed" vertical="center"/>
      <protection/>
    </xf>
    <xf numFmtId="181" fontId="109" fillId="0" borderId="71" xfId="60" applyNumberFormat="1" applyFont="1" applyBorder="1" applyAlignment="1">
      <alignment horizontal="center" vertical="center"/>
      <protection/>
    </xf>
    <xf numFmtId="181" fontId="109" fillId="0" borderId="56" xfId="60" applyNumberFormat="1" applyFont="1" applyBorder="1" applyAlignment="1">
      <alignment horizontal="center" vertical="center"/>
      <protection/>
    </xf>
    <xf numFmtId="176" fontId="89" fillId="0" borderId="71" xfId="60" applyNumberFormat="1" applyFont="1" applyBorder="1" applyAlignment="1">
      <alignment horizontal="center" vertical="center"/>
      <protection/>
    </xf>
    <xf numFmtId="176" fontId="89" fillId="0" borderId="56" xfId="60" applyNumberFormat="1" applyFont="1" applyBorder="1" applyAlignment="1">
      <alignment horizontal="center" vertical="center"/>
      <protection/>
    </xf>
    <xf numFmtId="176" fontId="89" fillId="0" borderId="64" xfId="60" applyNumberFormat="1" applyFont="1" applyBorder="1" applyAlignment="1">
      <alignment horizontal="center" vertical="center"/>
      <protection/>
    </xf>
    <xf numFmtId="0" fontId="107" fillId="0" borderId="66" xfId="60" applyFont="1" applyBorder="1" applyAlignment="1">
      <alignment vertical="center" shrinkToFit="1"/>
      <protection/>
    </xf>
    <xf numFmtId="0" fontId="107" fillId="0" borderId="62" xfId="60" applyFont="1" applyBorder="1" applyAlignment="1">
      <alignment vertical="center" shrinkToFit="1"/>
      <protection/>
    </xf>
    <xf numFmtId="0" fontId="107" fillId="0" borderId="64" xfId="60" applyFont="1" applyBorder="1" applyAlignment="1" quotePrefix="1">
      <alignment vertical="center"/>
      <protection/>
    </xf>
    <xf numFmtId="0" fontId="107" fillId="0" borderId="63" xfId="60" applyFont="1" applyBorder="1" applyAlignment="1" quotePrefix="1">
      <alignment vertical="center" wrapText="1"/>
      <protection/>
    </xf>
    <xf numFmtId="0" fontId="89" fillId="0" borderId="95" xfId="60" applyFont="1" applyBorder="1" applyAlignment="1">
      <alignment horizontal="center" vertical="center"/>
      <protection/>
    </xf>
    <xf numFmtId="0" fontId="89" fillId="0" borderId="121" xfId="60" applyFont="1" applyBorder="1" applyAlignment="1">
      <alignment horizontal="center" vertical="center"/>
      <protection/>
    </xf>
    <xf numFmtId="0" fontId="89" fillId="0" borderId="93" xfId="60" applyFont="1" applyBorder="1" applyAlignment="1">
      <alignment horizontal="center" vertical="center"/>
      <protection/>
    </xf>
    <xf numFmtId="0" fontId="89" fillId="0" borderId="122" xfId="60" applyFont="1" applyBorder="1" applyAlignment="1">
      <alignment horizontal="center" vertical="center"/>
      <protection/>
    </xf>
    <xf numFmtId="0" fontId="89" fillId="0" borderId="16" xfId="60" applyFont="1" applyBorder="1" applyAlignment="1">
      <alignment horizontal="distributed" vertical="center" wrapText="1"/>
      <protection/>
    </xf>
    <xf numFmtId="0" fontId="89" fillId="0" borderId="16" xfId="60" applyFont="1" applyBorder="1" applyAlignment="1">
      <alignment horizontal="distributed" vertical="distributed" textRotation="255"/>
      <protection/>
    </xf>
    <xf numFmtId="38" fontId="89" fillId="0" borderId="16" xfId="48" applyFont="1" applyBorder="1" applyAlignment="1">
      <alignment horizontal="distributed" vertical="center" wrapText="1"/>
    </xf>
    <xf numFmtId="38" fontId="89" fillId="0" borderId="16" xfId="48" applyFont="1" applyBorder="1" applyAlignment="1">
      <alignment horizontal="distributed" vertical="center"/>
    </xf>
    <xf numFmtId="0" fontId="111" fillId="0" borderId="63" xfId="60" applyFont="1" applyBorder="1" applyAlignment="1">
      <alignment horizontal="center" vertical="top" textRotation="255" wrapText="1"/>
      <protection/>
    </xf>
    <xf numFmtId="0" fontId="111" fillId="0" borderId="64" xfId="60" applyFont="1" applyBorder="1" applyAlignment="1">
      <alignment horizontal="center" vertical="top" textRotation="255" wrapText="1"/>
      <protection/>
    </xf>
    <xf numFmtId="0" fontId="111" fillId="0" borderId="51" xfId="60" applyFont="1" applyBorder="1" applyAlignment="1">
      <alignment horizontal="center" vertical="top" textRotation="255" wrapText="1"/>
      <protection/>
    </xf>
    <xf numFmtId="0" fontId="52" fillId="0" borderId="16" xfId="65" applyFont="1" applyBorder="1" applyAlignment="1" applyProtection="1">
      <alignment horizontal="distributed" vertical="center" wrapText="1" indent="1"/>
      <protection hidden="1"/>
    </xf>
    <xf numFmtId="0" fontId="106" fillId="0" borderId="16" xfId="65" applyFont="1" applyBorder="1" applyAlignment="1" applyProtection="1" quotePrefix="1">
      <alignment horizontal="distributed" vertical="center" indent="1"/>
      <protection hidden="1"/>
    </xf>
    <xf numFmtId="0" fontId="52" fillId="0" borderId="67" xfId="65" applyFont="1" applyBorder="1" applyAlignment="1" applyProtection="1">
      <alignment horizontal="center" vertical="center" wrapText="1" shrinkToFit="1"/>
      <protection hidden="1"/>
    </xf>
    <xf numFmtId="0" fontId="0" fillId="0" borderId="67" xfId="65" applyFont="1" applyBorder="1" applyAlignment="1" applyProtection="1">
      <alignment horizontal="center" vertical="center" shrinkToFit="1"/>
      <protection hidden="1"/>
    </xf>
    <xf numFmtId="0" fontId="52" fillId="0" borderId="123" xfId="65" applyFont="1" applyBorder="1" applyAlignment="1" applyProtection="1">
      <alignment horizontal="center" vertical="center"/>
      <protection hidden="1"/>
    </xf>
    <xf numFmtId="0" fontId="0" fillId="0" borderId="27" xfId="65" applyFont="1" applyBorder="1" applyAlignment="1" applyProtection="1">
      <alignment horizontal="center" vertical="center"/>
      <protection hidden="1"/>
    </xf>
    <xf numFmtId="0" fontId="52" fillId="0" borderId="16" xfId="65" applyFont="1" applyBorder="1" applyAlignment="1" applyProtection="1">
      <alignment horizontal="center" vertical="center"/>
      <protection hidden="1"/>
    </xf>
    <xf numFmtId="0" fontId="106" fillId="0" borderId="16" xfId="65" applyFont="1" applyBorder="1" applyAlignment="1" applyProtection="1">
      <alignment horizontal="distributed" vertical="center" indent="1"/>
      <protection hidden="1"/>
    </xf>
    <xf numFmtId="0" fontId="49" fillId="0" borderId="16" xfId="65" applyFont="1" applyBorder="1" applyAlignment="1" applyProtection="1">
      <alignment horizontal="center" vertical="center"/>
      <protection hidden="1"/>
    </xf>
    <xf numFmtId="0" fontId="52" fillId="0" borderId="16" xfId="65" applyFont="1" applyBorder="1" applyAlignment="1" applyProtection="1" quotePrefix="1">
      <alignment horizontal="distributed" vertical="center" shrinkToFit="1"/>
      <protection hidden="1"/>
    </xf>
    <xf numFmtId="0" fontId="52" fillId="0" borderId="51" xfId="65" applyFont="1" applyBorder="1" applyAlignment="1" applyProtection="1">
      <alignment horizontal="distributed" vertical="center" wrapText="1" indent="1" shrinkToFit="1"/>
      <protection hidden="1"/>
    </xf>
    <xf numFmtId="0" fontId="52" fillId="0" borderId="16" xfId="65" applyFont="1" applyBorder="1" applyAlignment="1" applyProtection="1">
      <alignment horizontal="distributed" vertical="center" indent="1" shrinkToFit="1"/>
      <protection hidden="1"/>
    </xf>
    <xf numFmtId="0" fontId="54" fillId="0" borderId="102" xfId="65" applyFont="1" applyBorder="1" applyAlignment="1" applyProtection="1">
      <alignment vertical="center"/>
      <protection hidden="1"/>
    </xf>
    <xf numFmtId="0" fontId="53" fillId="0" borderId="16" xfId="65" applyFont="1" applyBorder="1" applyAlignment="1" applyProtection="1">
      <alignment horizontal="distributed" vertical="center" wrapText="1" indent="1"/>
      <protection hidden="1"/>
    </xf>
    <xf numFmtId="0" fontId="35" fillId="0" borderId="16" xfId="65" applyFont="1" applyBorder="1" applyAlignment="1" applyProtection="1">
      <alignment horizontal="distributed" vertical="center" wrapText="1" indent="1"/>
      <protection hidden="1"/>
    </xf>
    <xf numFmtId="0" fontId="35" fillId="0" borderId="17" xfId="65" applyFont="1" applyBorder="1" applyAlignment="1" applyProtection="1">
      <alignment horizontal="distributed" vertical="center" wrapText="1" indent="1"/>
      <protection hidden="1"/>
    </xf>
    <xf numFmtId="0" fontId="50" fillId="0" borderId="16" xfId="65" applyFont="1" applyBorder="1" applyAlignment="1" applyProtection="1" quotePrefix="1">
      <alignment horizontal="center" vertical="center" textRotation="255" wrapText="1"/>
      <protection hidden="1"/>
    </xf>
    <xf numFmtId="0" fontId="50" fillId="0" borderId="16" xfId="65" applyFont="1" applyBorder="1" applyAlignment="1" applyProtection="1">
      <alignment horizontal="center" vertical="center" textRotation="255"/>
      <protection hidden="1"/>
    </xf>
    <xf numFmtId="0" fontId="53" fillId="0" borderId="16" xfId="65" applyFont="1" applyBorder="1" applyAlignment="1" applyProtection="1">
      <alignment horizontal="distributed" vertical="center" wrapText="1" indent="1" shrinkToFit="1"/>
      <protection hidden="1"/>
    </xf>
    <xf numFmtId="0" fontId="35" fillId="0" borderId="16" xfId="65" applyFont="1" applyBorder="1" applyAlignment="1" applyProtection="1">
      <alignment horizontal="distributed" vertical="center" indent="1" shrinkToFit="1"/>
      <protection hidden="1"/>
    </xf>
    <xf numFmtId="0" fontId="35" fillId="0" borderId="17" xfId="65" applyFont="1" applyBorder="1" applyAlignment="1" applyProtection="1">
      <alignment horizontal="distributed" vertical="center" indent="1" shrinkToFit="1"/>
      <protection hidden="1"/>
    </xf>
    <xf numFmtId="0" fontId="50" fillId="0" borderId="16" xfId="65" applyFont="1" applyBorder="1" applyAlignment="1" applyProtection="1">
      <alignment horizontal="distributed" vertical="center" wrapText="1" indent="1"/>
      <protection hidden="1"/>
    </xf>
    <xf numFmtId="0" fontId="49" fillId="0" borderId="16" xfId="65" applyFont="1" applyBorder="1" applyAlignment="1" applyProtection="1">
      <alignment horizontal="center" vertical="center" textRotation="255"/>
      <protection hidden="1"/>
    </xf>
    <xf numFmtId="0" fontId="50" fillId="0" borderId="16" xfId="65" applyFont="1" applyBorder="1" applyAlignment="1" applyProtection="1">
      <alignment horizontal="center" vertical="top" textRotation="255" wrapText="1"/>
      <protection hidden="1"/>
    </xf>
    <xf numFmtId="0" fontId="50" fillId="0" borderId="16" xfId="65" applyFont="1" applyBorder="1" applyAlignment="1" applyProtection="1">
      <alignment horizontal="center" vertical="top" textRotation="255"/>
      <protection hidden="1"/>
    </xf>
    <xf numFmtId="0" fontId="52" fillId="0" borderId="16" xfId="65" applyFont="1" applyBorder="1" applyAlignment="1" applyProtection="1" quotePrefix="1">
      <alignment horizontal="distributed" vertical="center" indent="1"/>
      <protection hidden="1"/>
    </xf>
    <xf numFmtId="0" fontId="0" fillId="0" borderId="68" xfId="65" applyBorder="1" applyAlignment="1" applyProtection="1">
      <alignment/>
      <protection hidden="1"/>
    </xf>
    <xf numFmtId="0" fontId="25" fillId="0" borderId="63" xfId="65" applyFont="1" applyBorder="1" applyAlignment="1" applyProtection="1" quotePrefix="1">
      <alignment horizontal="center" vertical="center"/>
      <protection hidden="1"/>
    </xf>
    <xf numFmtId="0" fontId="25" fillId="0" borderId="51" xfId="65" applyFont="1" applyBorder="1" applyAlignment="1" applyProtection="1" quotePrefix="1">
      <alignment horizontal="center" vertical="center"/>
      <protection hidden="1"/>
    </xf>
    <xf numFmtId="0" fontId="52" fillId="0" borderId="51" xfId="65" applyFont="1" applyBorder="1" applyAlignment="1" applyProtection="1">
      <alignment horizontal="distributed" vertical="center" indent="1"/>
      <protection hidden="1"/>
    </xf>
    <xf numFmtId="0" fontId="52" fillId="0" borderId="16" xfId="65" applyFont="1" applyBorder="1" applyAlignment="1" applyProtection="1">
      <alignment horizontal="distributed" vertical="center" indent="1"/>
      <protection hidden="1"/>
    </xf>
    <xf numFmtId="0" fontId="49" fillId="0" borderId="70" xfId="65" applyFont="1" applyBorder="1" applyAlignment="1" applyProtection="1">
      <alignment horizontal="distributed" vertical="center"/>
      <protection hidden="1"/>
    </xf>
    <xf numFmtId="0" fontId="0" fillId="0" borderId="0" xfId="65" applyBorder="1" applyAlignment="1" applyProtection="1">
      <alignment horizontal="distributed" vertical="center"/>
      <protection hidden="1"/>
    </xf>
    <xf numFmtId="0" fontId="0" fillId="0" borderId="71" xfId="65" applyBorder="1" applyAlignment="1" applyProtection="1">
      <alignment horizontal="distributed" vertical="center"/>
      <protection hidden="1"/>
    </xf>
    <xf numFmtId="0" fontId="0" fillId="0" borderId="104" xfId="65" applyBorder="1" applyAlignment="1" applyProtection="1">
      <alignment horizontal="distributed" vertical="center"/>
      <protection hidden="1"/>
    </xf>
    <xf numFmtId="0" fontId="35" fillId="0" borderId="16" xfId="65" applyFont="1" applyBorder="1" applyAlignment="1" applyProtection="1">
      <alignment horizontal="distributed" vertical="center" indent="1"/>
      <protection hidden="1"/>
    </xf>
    <xf numFmtId="0" fontId="35" fillId="0" borderId="17" xfId="65" applyFont="1" applyBorder="1" applyAlignment="1" applyProtection="1">
      <alignment horizontal="distributed" vertical="center" indent="1"/>
      <protection hidden="1"/>
    </xf>
    <xf numFmtId="0" fontId="49" fillId="0" borderId="16" xfId="65" applyFont="1" applyBorder="1" applyAlignment="1" applyProtection="1" quotePrefix="1">
      <alignment horizontal="distributed" vertical="center" indent="1"/>
      <protection hidden="1"/>
    </xf>
    <xf numFmtId="0" fontId="49" fillId="0" borderId="16" xfId="65" applyFont="1" applyBorder="1" applyAlignment="1" applyProtection="1">
      <alignment horizontal="distributed" vertical="center" indent="1"/>
      <protection hidden="1"/>
    </xf>
    <xf numFmtId="0" fontId="45" fillId="0" borderId="16" xfId="65" applyFont="1" applyBorder="1" applyAlignment="1" applyProtection="1">
      <alignment horizontal="left" vertical="center" wrapText="1" indent="1"/>
      <protection hidden="1"/>
    </xf>
    <xf numFmtId="0" fontId="52" fillId="0" borderId="16" xfId="65" applyFont="1" applyBorder="1" applyAlignment="1" applyProtection="1" quotePrefix="1">
      <alignment horizontal="left" vertical="center" wrapText="1" indent="1"/>
      <protection hidden="1"/>
    </xf>
    <xf numFmtId="0" fontId="34" fillId="0" borderId="124" xfId="62" applyFont="1" applyFill="1" applyBorder="1" applyAlignment="1">
      <alignment horizontal="left" vertical="top" wrapText="1"/>
      <protection/>
    </xf>
    <xf numFmtId="0" fontId="34" fillId="0" borderId="125" xfId="62" applyFont="1" applyFill="1" applyBorder="1" applyAlignment="1">
      <alignment horizontal="left" vertical="top" wrapText="1"/>
      <protection/>
    </xf>
    <xf numFmtId="0" fontId="34" fillId="0" borderId="126" xfId="62" applyFont="1" applyFill="1" applyBorder="1" applyAlignment="1">
      <alignment horizontal="left" vertical="top" wrapText="1"/>
      <protection/>
    </xf>
    <xf numFmtId="0" fontId="49" fillId="0" borderId="16" xfId="65" applyFont="1" applyBorder="1" applyAlignment="1" applyProtection="1">
      <alignment horizontal="center" vertical="distributed" textRotation="255"/>
      <protection hidden="1"/>
    </xf>
    <xf numFmtId="0" fontId="49" fillId="0" borderId="63" xfId="65" applyFont="1" applyBorder="1" applyAlignment="1" applyProtection="1">
      <alignment horizontal="center" vertical="center"/>
      <protection hidden="1"/>
    </xf>
    <xf numFmtId="0" fontId="52" fillId="0" borderId="51" xfId="65" applyFont="1" applyBorder="1" applyAlignment="1" applyProtection="1">
      <alignment horizontal="distributed" vertical="center" indent="1"/>
      <protection locked="0"/>
    </xf>
    <xf numFmtId="0" fontId="52" fillId="0" borderId="16" xfId="65" applyFont="1" applyBorder="1" applyAlignment="1" applyProtection="1">
      <alignment horizontal="distributed" vertical="center" indent="1"/>
      <protection locked="0"/>
    </xf>
    <xf numFmtId="0" fontId="52" fillId="0" borderId="16" xfId="65" applyFont="1" applyBorder="1" applyAlignment="1" applyProtection="1">
      <alignment vertical="center" shrinkToFit="1"/>
      <protection hidden="1"/>
    </xf>
    <xf numFmtId="0" fontId="52" fillId="0" borderId="16" xfId="65" applyFont="1" applyBorder="1" applyAlignment="1" applyProtection="1">
      <alignment vertical="center" wrapText="1"/>
      <protection hidden="1"/>
    </xf>
    <xf numFmtId="0" fontId="49" fillId="0" borderId="16" xfId="65" applyFont="1" applyBorder="1" applyAlignment="1" applyProtection="1">
      <alignment horizontal="center" wrapText="1"/>
      <protection hidden="1"/>
    </xf>
    <xf numFmtId="38" fontId="0" fillId="0" borderId="16" xfId="48" applyBorder="1" applyAlignment="1" applyProtection="1">
      <alignment horizontal="center" vertical="center"/>
      <protection hidden="1"/>
    </xf>
    <xf numFmtId="38" fontId="0" fillId="0" borderId="63" xfId="48" applyBorder="1" applyAlignment="1" applyProtection="1">
      <alignment horizontal="center" vertical="center"/>
      <protection hidden="1"/>
    </xf>
    <xf numFmtId="179" fontId="6" fillId="0" borderId="16" xfId="62" applyNumberFormat="1" applyFont="1" applyFill="1" applyBorder="1" applyAlignment="1">
      <alignment horizontal="center"/>
      <protection/>
    </xf>
    <xf numFmtId="179" fontId="3" fillId="0" borderId="16" xfId="62" applyNumberFormat="1" applyFill="1" applyBorder="1" applyAlignment="1">
      <alignment horizontal="center"/>
      <protection/>
    </xf>
    <xf numFmtId="0" fontId="6" fillId="0" borderId="16" xfId="62" applyFont="1" applyFill="1" applyBorder="1" applyAlignment="1">
      <alignment horizontal="center"/>
      <protection/>
    </xf>
    <xf numFmtId="0" fontId="3" fillId="0" borderId="16" xfId="62" applyFill="1" applyBorder="1" applyAlignment="1">
      <alignment horizontal="center"/>
      <protection/>
    </xf>
    <xf numFmtId="0" fontId="6" fillId="0" borderId="0" xfId="62" applyFont="1" applyFill="1" applyAlignment="1">
      <alignment horizontal="center"/>
      <protection/>
    </xf>
    <xf numFmtId="0" fontId="3" fillId="0" borderId="0" xfId="62" applyFill="1" applyAlignment="1">
      <alignment horizontal="center"/>
      <protection/>
    </xf>
    <xf numFmtId="0" fontId="3" fillId="0" borderId="16" xfId="62" applyFill="1" applyBorder="1" applyAlignment="1">
      <alignment horizontal="center" vertical="center" textRotation="255"/>
      <protection/>
    </xf>
    <xf numFmtId="0" fontId="6" fillId="0" borderId="16" xfId="62" applyFont="1" applyFill="1" applyBorder="1" applyAlignment="1">
      <alignment horizontal="center" shrinkToFit="1"/>
      <protection/>
    </xf>
    <xf numFmtId="0" fontId="3" fillId="0" borderId="16" xfId="62" applyFill="1" applyBorder="1" applyAlignment="1">
      <alignment horizontal="center" shrinkToFit="1"/>
      <protection/>
    </xf>
    <xf numFmtId="182" fontId="3" fillId="0" borderId="16" xfId="62" applyNumberFormat="1" applyFill="1" applyBorder="1" applyAlignment="1">
      <alignment horizontal="center"/>
      <protection/>
    </xf>
    <xf numFmtId="183" fontId="3" fillId="0" borderId="16" xfId="62" applyNumberFormat="1" applyFill="1" applyBorder="1" applyAlignment="1">
      <alignment horizontal="center"/>
      <protection/>
    </xf>
    <xf numFmtId="0" fontId="6" fillId="0" borderId="16" xfId="62" applyFont="1" applyFill="1" applyBorder="1" applyAlignment="1">
      <alignment horizontal="distributed" vertical="center"/>
      <protection/>
    </xf>
    <xf numFmtId="0" fontId="3" fillId="0" borderId="16" xfId="62" applyFill="1" applyBorder="1" applyAlignment="1">
      <alignment horizontal="distributed" vertical="center" wrapText="1"/>
      <protection/>
    </xf>
    <xf numFmtId="38" fontId="6" fillId="0" borderId="127" xfId="48" applyFont="1" applyFill="1" applyBorder="1" applyAlignment="1" applyProtection="1">
      <alignment/>
      <protection locked="0"/>
    </xf>
    <xf numFmtId="38" fontId="3" fillId="0" borderId="128" xfId="48" applyFont="1" applyFill="1" applyBorder="1" applyAlignment="1" applyProtection="1">
      <alignment/>
      <protection locked="0"/>
    </xf>
    <xf numFmtId="38" fontId="3" fillId="0" borderId="129" xfId="48" applyFont="1" applyFill="1" applyBorder="1" applyAlignment="1" applyProtection="1">
      <alignment/>
      <protection locked="0"/>
    </xf>
    <xf numFmtId="0" fontId="37" fillId="0" borderId="66" xfId="62" applyFont="1" applyFill="1" applyBorder="1" applyAlignment="1">
      <alignment horizontal="left" vertical="top" wrapText="1"/>
      <protection/>
    </xf>
    <xf numFmtId="0" fontId="37" fillId="0" borderId="62" xfId="62" applyFont="1" applyFill="1" applyBorder="1" applyAlignment="1">
      <alignment horizontal="left" vertical="top" wrapText="1"/>
      <protection/>
    </xf>
    <xf numFmtId="0" fontId="37" fillId="0" borderId="71" xfId="62" applyFont="1" applyFill="1" applyBorder="1" applyAlignment="1">
      <alignment horizontal="left" vertical="top" wrapText="1"/>
      <protection/>
    </xf>
    <xf numFmtId="0" fontId="37" fillId="0" borderId="56" xfId="62" applyFont="1" applyFill="1" applyBorder="1" applyAlignment="1">
      <alignment horizontal="left" vertical="top" wrapText="1"/>
      <protection/>
    </xf>
    <xf numFmtId="0" fontId="6" fillId="0" borderId="67" xfId="62" applyFont="1" applyFill="1" applyBorder="1" applyAlignment="1">
      <alignment horizontal="distributed" vertical="center"/>
      <protection/>
    </xf>
    <xf numFmtId="0" fontId="6" fillId="0" borderId="27" xfId="62" applyFont="1" applyFill="1" applyBorder="1" applyAlignment="1">
      <alignment horizontal="distributed" vertical="center"/>
      <protection/>
    </xf>
    <xf numFmtId="0" fontId="6" fillId="0" borderId="16" xfId="62" applyFont="1" applyFill="1" applyBorder="1" applyAlignment="1">
      <alignment horizontal="distributed" vertical="top" textRotation="255" wrapText="1"/>
      <protection/>
    </xf>
    <xf numFmtId="0" fontId="3" fillId="0" borderId="16" xfId="62" applyFill="1" applyBorder="1" applyAlignment="1">
      <alignment horizontal="distributed" vertical="top" textRotation="255" wrapText="1"/>
      <protection/>
    </xf>
    <xf numFmtId="0" fontId="35" fillId="0" borderId="16" xfId="62" applyFont="1" applyFill="1" applyBorder="1" applyAlignment="1">
      <alignment horizontal="distributed" vertical="center" wrapText="1"/>
      <protection/>
    </xf>
    <xf numFmtId="0" fontId="6" fillId="0" borderId="67" xfId="62" applyFont="1" applyFill="1" applyBorder="1" applyAlignment="1">
      <alignment horizontal="distributed" vertical="center" wrapText="1"/>
      <protection/>
    </xf>
    <xf numFmtId="0" fontId="3" fillId="0" borderId="27" xfId="62" applyFill="1" applyBorder="1" applyAlignment="1">
      <alignment horizontal="distributed" vertical="center" wrapText="1"/>
      <protection/>
    </xf>
    <xf numFmtId="0" fontId="6" fillId="0" borderId="63" xfId="62" applyFont="1" applyFill="1" applyBorder="1" applyAlignment="1">
      <alignment horizontal="center" vertical="center" wrapText="1"/>
      <protection/>
    </xf>
    <xf numFmtId="0" fontId="3" fillId="0" borderId="51" xfId="62" applyFill="1" applyBorder="1" applyAlignment="1">
      <alignment horizontal="center" vertical="center" wrapText="1"/>
      <protection/>
    </xf>
    <xf numFmtId="0" fontId="6" fillId="33" borderId="0" xfId="62" applyFont="1" applyFill="1" applyBorder="1" applyAlignment="1">
      <alignment horizontal="center" vertical="center" wrapText="1"/>
      <protection/>
    </xf>
    <xf numFmtId="0" fontId="3" fillId="33" borderId="0" xfId="62" applyFill="1" applyBorder="1" applyAlignment="1">
      <alignment horizontal="center" vertical="center" wrapText="1"/>
      <protection/>
    </xf>
    <xf numFmtId="0" fontId="6" fillId="0" borderId="17" xfId="62" applyFont="1" applyFill="1" applyBorder="1" applyAlignment="1">
      <alignment horizontal="center" vertical="top" wrapText="1"/>
      <protection/>
    </xf>
    <xf numFmtId="0" fontId="6" fillId="0" borderId="67" xfId="62" applyFont="1" applyFill="1" applyBorder="1" applyAlignment="1">
      <alignment horizontal="center" vertical="top" wrapText="1"/>
      <protection/>
    </xf>
    <xf numFmtId="0" fontId="3" fillId="0" borderId="67" xfId="62" applyFill="1" applyBorder="1" applyAlignment="1">
      <alignment horizontal="center" vertical="top" wrapText="1"/>
      <protection/>
    </xf>
    <xf numFmtId="0" fontId="3" fillId="0" borderId="27" xfId="62" applyFill="1" applyBorder="1" applyAlignment="1">
      <alignment horizontal="center" vertical="top" wrapText="1"/>
      <protection/>
    </xf>
    <xf numFmtId="0" fontId="29" fillId="0" borderId="0" xfId="62" applyFont="1" applyFill="1" applyBorder="1" applyAlignment="1">
      <alignment horizontal="left" vertical="center" wrapText="1"/>
      <protection/>
    </xf>
    <xf numFmtId="0" fontId="32" fillId="0" borderId="64" xfId="62" applyFont="1" applyFill="1" applyBorder="1" applyAlignment="1">
      <alignment horizontal="center" vertical="top" textRotation="255" wrapText="1"/>
      <protection/>
    </xf>
    <xf numFmtId="0" fontId="32" fillId="0" borderId="51" xfId="62" applyFont="1" applyFill="1" applyBorder="1" applyAlignment="1">
      <alignment horizontal="center" vertical="top" textRotation="255" wrapText="1"/>
      <protection/>
    </xf>
    <xf numFmtId="0" fontId="35" fillId="0" borderId="63" xfId="62" applyFont="1" applyFill="1" applyBorder="1" applyAlignment="1">
      <alignment horizontal="left" vertical="center" wrapText="1"/>
      <protection/>
    </xf>
    <xf numFmtId="0" fontId="36" fillId="0" borderId="51" xfId="62" applyFont="1" applyFill="1" applyBorder="1" applyAlignment="1">
      <alignment horizontal="left" vertical="center" wrapText="1"/>
      <protection/>
    </xf>
    <xf numFmtId="0" fontId="6" fillId="0" borderId="66" xfId="62" applyFont="1" applyFill="1" applyBorder="1" applyAlignment="1">
      <alignment horizontal="center" vertical="center" wrapText="1"/>
      <protection/>
    </xf>
    <xf numFmtId="0" fontId="6" fillId="0" borderId="62" xfId="62" applyFont="1" applyFill="1" applyBorder="1" applyAlignment="1">
      <alignment horizontal="center" vertical="center" wrapText="1"/>
      <protection/>
    </xf>
    <xf numFmtId="0" fontId="6" fillId="0" borderId="71" xfId="62" applyFont="1" applyFill="1" applyBorder="1" applyAlignment="1">
      <alignment horizontal="center" vertical="center" wrapText="1"/>
      <protection/>
    </xf>
    <xf numFmtId="0" fontId="6" fillId="0" borderId="56" xfId="62" applyFont="1" applyFill="1" applyBorder="1" applyAlignment="1">
      <alignment horizontal="center" vertical="center" wrapText="1"/>
      <protection/>
    </xf>
    <xf numFmtId="0" fontId="6" fillId="0" borderId="67" xfId="62" applyFont="1" applyFill="1" applyBorder="1" applyAlignment="1">
      <alignment horizontal="center" vertical="center" wrapText="1"/>
      <protection/>
    </xf>
    <xf numFmtId="0" fontId="6" fillId="0" borderId="66" xfId="62" applyFont="1" applyFill="1" applyBorder="1" applyAlignment="1">
      <alignment horizontal="center" vertical="top" wrapText="1"/>
      <protection/>
    </xf>
    <xf numFmtId="0" fontId="6" fillId="0" borderId="62" xfId="62" applyFont="1" applyFill="1" applyBorder="1" applyAlignment="1">
      <alignment horizontal="center" vertical="top" wrapText="1"/>
      <protection/>
    </xf>
    <xf numFmtId="0" fontId="6" fillId="0" borderId="71" xfId="62" applyFont="1" applyFill="1" applyBorder="1" applyAlignment="1">
      <alignment horizontal="center" vertical="top" wrapText="1"/>
      <protection/>
    </xf>
    <xf numFmtId="0" fontId="6" fillId="0" borderId="56" xfId="62" applyFont="1" applyFill="1" applyBorder="1" applyAlignment="1">
      <alignment horizontal="center" vertical="top" wrapText="1"/>
      <protection/>
    </xf>
    <xf numFmtId="182" fontId="3" fillId="0" borderId="17" xfId="62" applyNumberFormat="1" applyFill="1" applyBorder="1" applyAlignment="1">
      <alignment horizontal="center"/>
      <protection/>
    </xf>
    <xf numFmtId="182" fontId="3" fillId="0" borderId="67" xfId="62" applyNumberFormat="1" applyFill="1" applyBorder="1" applyAlignment="1">
      <alignment horizontal="center"/>
      <protection/>
    </xf>
    <xf numFmtId="182" fontId="3" fillId="0" borderId="27" xfId="62" applyNumberFormat="1" applyFill="1" applyBorder="1" applyAlignment="1">
      <alignment horizontal="center"/>
      <protection/>
    </xf>
    <xf numFmtId="0" fontId="3" fillId="0" borderId="17" xfId="62" applyFill="1" applyBorder="1" applyAlignment="1">
      <alignment horizontal="center"/>
      <protection/>
    </xf>
    <xf numFmtId="0" fontId="3" fillId="0" borderId="67" xfId="62" applyFill="1" applyBorder="1" applyAlignment="1">
      <alignment horizontal="center"/>
      <protection/>
    </xf>
    <xf numFmtId="0" fontId="3" fillId="0" borderId="27" xfId="62" applyFill="1" applyBorder="1" applyAlignment="1">
      <alignment horizontal="center"/>
      <protection/>
    </xf>
    <xf numFmtId="179" fontId="4" fillId="0" borderId="16" xfId="63" applyNumberFormat="1" applyFont="1" applyFill="1" applyBorder="1" applyAlignment="1" applyProtection="1">
      <alignment vertical="center"/>
      <protection hidden="1"/>
    </xf>
    <xf numFmtId="179" fontId="4" fillId="0" borderId="57" xfId="63" applyNumberFormat="1" applyFont="1" applyFill="1" applyBorder="1" applyAlignment="1" applyProtection="1">
      <alignment vertical="center"/>
      <protection hidden="1"/>
    </xf>
    <xf numFmtId="0" fontId="6" fillId="0" borderId="17" xfId="62" applyFont="1" applyFill="1" applyBorder="1" applyAlignment="1">
      <alignment horizontal="center"/>
      <protection/>
    </xf>
    <xf numFmtId="0" fontId="6" fillId="0" borderId="67" xfId="62" applyFont="1" applyFill="1" applyBorder="1" applyAlignment="1">
      <alignment horizontal="center"/>
      <protection/>
    </xf>
    <xf numFmtId="0" fontId="6" fillId="0" borderId="27" xfId="62" applyFont="1" applyFill="1" applyBorder="1" applyAlignment="1">
      <alignment horizontal="center"/>
      <protection/>
    </xf>
    <xf numFmtId="179" fontId="4" fillId="0" borderId="99" xfId="63" applyNumberFormat="1" applyFont="1" applyFill="1" applyBorder="1" applyAlignment="1" applyProtection="1">
      <alignment vertical="center"/>
      <protection hidden="1"/>
    </xf>
    <xf numFmtId="179" fontId="4" fillId="0" borderId="108" xfId="63" applyNumberFormat="1" applyFont="1" applyFill="1" applyBorder="1" applyAlignment="1" applyProtection="1">
      <alignment vertical="center"/>
      <protection hidden="1"/>
    </xf>
    <xf numFmtId="0" fontId="6" fillId="0" borderId="74" xfId="63" applyFont="1" applyFill="1" applyBorder="1" applyAlignment="1" applyProtection="1" quotePrefix="1">
      <alignment horizontal="center" vertical="distributed" textRotation="255"/>
      <protection hidden="1"/>
    </xf>
    <xf numFmtId="0" fontId="6" fillId="0" borderId="118" xfId="63" applyFont="1" applyFill="1" applyBorder="1" applyAlignment="1" applyProtection="1" quotePrefix="1">
      <alignment horizontal="center" vertical="distributed" textRotation="255"/>
      <protection hidden="1"/>
    </xf>
    <xf numFmtId="0" fontId="6" fillId="0" borderId="59" xfId="63" applyFont="1" applyFill="1" applyBorder="1" applyAlignment="1" applyProtection="1" quotePrefix="1">
      <alignment horizontal="center" vertical="distributed" textRotation="255"/>
      <protection hidden="1"/>
    </xf>
    <xf numFmtId="0" fontId="6" fillId="0" borderId="23" xfId="63" applyFont="1" applyFill="1" applyBorder="1" applyAlignment="1" applyProtection="1">
      <alignment horizontal="center" vertical="center"/>
      <protection hidden="1"/>
    </xf>
    <xf numFmtId="0" fontId="6" fillId="0" borderId="106" xfId="63" applyFont="1" applyFill="1" applyBorder="1" applyAlignment="1" applyProtection="1">
      <alignment horizontal="center" vertical="center"/>
      <protection hidden="1"/>
    </xf>
    <xf numFmtId="0" fontId="6" fillId="0" borderId="16" xfId="62" applyFont="1" applyFill="1" applyBorder="1" applyAlignment="1">
      <alignment horizontal="center" vertical="top" textRotation="255" wrapText="1"/>
      <protection/>
    </xf>
    <xf numFmtId="0" fontId="3" fillId="0" borderId="16" xfId="62" applyFill="1" applyBorder="1" applyAlignment="1">
      <alignment horizontal="center" vertical="top" textRotation="255" wrapText="1"/>
      <protection/>
    </xf>
    <xf numFmtId="0" fontId="6" fillId="0" borderId="16" xfId="62" applyFont="1" applyFill="1" applyBorder="1" applyAlignment="1">
      <alignment horizontal="left" vertical="center" wrapText="1"/>
      <protection/>
    </xf>
    <xf numFmtId="0" fontId="3" fillId="0" borderId="16" xfId="62" applyFill="1" applyBorder="1" applyAlignment="1">
      <alignment horizontal="left" vertical="center" wrapText="1"/>
      <protection/>
    </xf>
    <xf numFmtId="0" fontId="35" fillId="0" borderId="17" xfId="62" applyFont="1" applyFill="1" applyBorder="1" applyAlignment="1">
      <alignment horizontal="distributed" vertical="center" wrapText="1"/>
      <protection/>
    </xf>
    <xf numFmtId="0" fontId="35" fillId="0" borderId="67" xfId="62" applyFont="1" applyFill="1" applyBorder="1" applyAlignment="1">
      <alignment horizontal="distributed" vertical="center" wrapText="1"/>
      <protection/>
    </xf>
    <xf numFmtId="0" fontId="35" fillId="0" borderId="27" xfId="62" applyFont="1" applyFill="1" applyBorder="1" applyAlignment="1">
      <alignment horizontal="distributed" vertical="center" wrapText="1"/>
      <protection/>
    </xf>
    <xf numFmtId="0" fontId="4" fillId="0" borderId="130" xfId="62" applyFont="1" applyFill="1" applyBorder="1" applyAlignment="1" applyProtection="1">
      <alignment horizontal="distributed" vertical="center"/>
      <protection hidden="1"/>
    </xf>
    <xf numFmtId="0" fontId="4" fillId="0" borderId="131" xfId="62" applyFont="1" applyFill="1" applyBorder="1" applyAlignment="1" applyProtection="1">
      <alignment horizontal="distributed" vertical="center"/>
      <protection hidden="1"/>
    </xf>
    <xf numFmtId="0" fontId="4" fillId="0" borderId="130" xfId="62" applyFont="1" applyFill="1" applyBorder="1" applyAlignment="1" applyProtection="1">
      <alignment horizontal="distributed" vertical="center" wrapText="1"/>
      <protection hidden="1"/>
    </xf>
    <xf numFmtId="0" fontId="4" fillId="0" borderId="131" xfId="62" applyFont="1" applyFill="1" applyBorder="1" applyAlignment="1" applyProtection="1">
      <alignment horizontal="distributed" vertical="center" wrapText="1"/>
      <protection hidden="1"/>
    </xf>
    <xf numFmtId="0" fontId="4" fillId="0" borderId="132" xfId="62" applyFont="1" applyFill="1" applyBorder="1" applyAlignment="1" applyProtection="1">
      <alignment horizontal="distributed" vertical="center"/>
      <protection hidden="1"/>
    </xf>
    <xf numFmtId="0" fontId="4" fillId="0" borderId="75" xfId="62" applyFont="1" applyFill="1" applyBorder="1" applyAlignment="1" applyProtection="1">
      <alignment horizontal="distributed" vertical="center" wrapText="1"/>
      <protection hidden="1"/>
    </xf>
    <xf numFmtId="0" fontId="4" fillId="0" borderId="32" xfId="62" applyFont="1" applyFill="1" applyBorder="1" applyAlignment="1" applyProtection="1">
      <alignment horizontal="distributed" vertical="center" wrapText="1"/>
      <protection hidden="1"/>
    </xf>
    <xf numFmtId="0" fontId="29" fillId="0" borderId="0" xfId="62" applyFont="1" applyFill="1" applyBorder="1" applyAlignment="1" applyProtection="1">
      <alignment horizontal="center" vertical="center"/>
      <protection locked="0"/>
    </xf>
    <xf numFmtId="0" fontId="40" fillId="0" borderId="111" xfId="62" applyFont="1" applyFill="1" applyBorder="1" applyAlignment="1" applyProtection="1">
      <alignment horizontal="center" vertical="center"/>
      <protection hidden="1"/>
    </xf>
    <xf numFmtId="0" fontId="40" fillId="0" borderId="15" xfId="62" applyFont="1" applyFill="1" applyBorder="1" applyAlignment="1" applyProtection="1">
      <alignment horizontal="center" vertical="center"/>
      <protection hidden="1"/>
    </xf>
    <xf numFmtId="0" fontId="6" fillId="0" borderId="133" xfId="62" applyFont="1" applyFill="1" applyBorder="1" applyAlignment="1">
      <alignment horizontal="center" vertical="center"/>
      <protection/>
    </xf>
    <xf numFmtId="0" fontId="3" fillId="0" borderId="15" xfId="62" applyFill="1" applyBorder="1" applyAlignment="1">
      <alignment horizontal="center" vertical="center"/>
      <protection/>
    </xf>
    <xf numFmtId="0" fontId="3" fillId="0" borderId="22" xfId="62" applyFill="1" applyBorder="1" applyAlignment="1">
      <alignment horizontal="center" vertical="center"/>
      <protection/>
    </xf>
    <xf numFmtId="1" fontId="42" fillId="0" borderId="85" xfId="64" applyFont="1" applyFill="1" applyBorder="1" applyAlignment="1" applyProtection="1">
      <alignment horizontal="center" vertical="distributed" textRotation="255"/>
      <protection hidden="1"/>
    </xf>
    <xf numFmtId="1" fontId="42" fillId="0" borderId="118" xfId="64" applyFont="1" applyFill="1" applyBorder="1" applyAlignment="1" applyProtection="1">
      <alignment horizontal="center" vertical="distributed" textRotation="255"/>
      <protection hidden="1"/>
    </xf>
    <xf numFmtId="1" fontId="42" fillId="0" borderId="114" xfId="64" applyFont="1" applyFill="1" applyBorder="1" applyAlignment="1" applyProtection="1">
      <alignment horizontal="center" vertical="distributed" textRotation="255"/>
      <protection hidden="1"/>
    </xf>
    <xf numFmtId="1" fontId="42" fillId="0" borderId="134" xfId="64" applyFont="1" applyFill="1" applyBorder="1" applyAlignment="1" applyProtection="1">
      <alignment horizontal="center" vertical="distributed" textRotation="255"/>
      <protection hidden="1"/>
    </xf>
    <xf numFmtId="1" fontId="42" fillId="0" borderId="68" xfId="64" applyFont="1" applyFill="1" applyBorder="1" applyAlignment="1" applyProtection="1">
      <alignment horizontal="distributed" vertical="distributed" textRotation="255"/>
      <protection hidden="1"/>
    </xf>
    <xf numFmtId="1" fontId="42" fillId="0" borderId="0" xfId="64" applyFont="1" applyFill="1" applyBorder="1" applyAlignment="1" applyProtection="1">
      <alignment horizontal="distributed" vertical="distributed" textRotation="255"/>
      <protection hidden="1"/>
    </xf>
    <xf numFmtId="1" fontId="42" fillId="0" borderId="114" xfId="64" applyFont="1" applyFill="1" applyBorder="1" applyAlignment="1" applyProtection="1">
      <alignment horizontal="distributed" vertical="distributed" textRotation="255"/>
      <protection hidden="1"/>
    </xf>
    <xf numFmtId="1" fontId="42" fillId="0" borderId="19" xfId="64" applyFont="1" applyFill="1" applyBorder="1" applyAlignment="1" applyProtection="1">
      <alignment horizontal="distributed" vertical="distributed" textRotation="255"/>
      <protection hidden="1"/>
    </xf>
    <xf numFmtId="1" fontId="42" fillId="0" borderId="135" xfId="64" applyFont="1" applyFill="1" applyBorder="1" applyAlignment="1" applyProtection="1">
      <alignment horizontal="distributed" vertical="distributed" textRotation="255"/>
      <protection hidden="1"/>
    </xf>
    <xf numFmtId="0" fontId="42" fillId="0" borderId="136" xfId="62" applyFont="1" applyFill="1" applyBorder="1" applyAlignment="1" applyProtection="1">
      <alignment horizontal="center" vertical="distributed" textRotation="255"/>
      <protection hidden="1"/>
    </xf>
    <xf numFmtId="0" fontId="42" fillId="0" borderId="118" xfId="62" applyFont="1" applyFill="1" applyBorder="1" applyAlignment="1" applyProtection="1">
      <alignment horizontal="center" vertical="distributed" textRotation="255"/>
      <protection hidden="1"/>
    </xf>
    <xf numFmtId="0" fontId="42" fillId="0" borderId="79" xfId="62" applyFont="1" applyFill="1" applyBorder="1" applyAlignment="1" applyProtection="1">
      <alignment horizontal="center" vertical="distributed" textRotation="255"/>
      <protection hidden="1"/>
    </xf>
    <xf numFmtId="49" fontId="45" fillId="0" borderId="112" xfId="62" applyNumberFormat="1" applyFont="1" applyFill="1" applyBorder="1" applyAlignment="1">
      <alignment horizontal="center" vertical="center" wrapText="1"/>
      <protection/>
    </xf>
    <xf numFmtId="49" fontId="45" fillId="0" borderId="137" xfId="62" applyNumberFormat="1" applyFont="1" applyFill="1" applyBorder="1" applyAlignment="1">
      <alignment horizontal="center" vertical="center" wrapText="1"/>
      <protection/>
    </xf>
    <xf numFmtId="0" fontId="21" fillId="0" borderId="10" xfId="62" applyNumberFormat="1" applyFont="1" applyFill="1" applyBorder="1" applyAlignment="1">
      <alignment horizontal="center" vertical="center"/>
      <protection/>
    </xf>
    <xf numFmtId="0" fontId="43" fillId="0" borderId="138" xfId="62" applyNumberFormat="1" applyFont="1" applyFill="1" applyBorder="1" applyAlignment="1">
      <alignment horizontal="distributed" vertical="center"/>
      <protection/>
    </xf>
    <xf numFmtId="0" fontId="43" fillId="0" borderId="139" xfId="62" applyNumberFormat="1" applyFont="1" applyFill="1" applyBorder="1" applyAlignment="1">
      <alignment horizontal="distributed" vertical="center"/>
      <protection/>
    </xf>
    <xf numFmtId="0" fontId="44" fillId="0" borderId="138" xfId="62" applyNumberFormat="1" applyFont="1" applyFill="1" applyBorder="1" applyAlignment="1">
      <alignment horizontal="distributed" vertical="center"/>
      <protection/>
    </xf>
    <xf numFmtId="0" fontId="44" fillId="0" borderId="139" xfId="62" applyNumberFormat="1" applyFont="1" applyFill="1" applyBorder="1" applyAlignment="1">
      <alignment horizontal="distributed" vertical="center"/>
      <protection/>
    </xf>
    <xf numFmtId="0" fontId="8" fillId="0" borderId="0" xfId="62" applyNumberFormat="1" applyFont="1" applyFill="1" applyAlignment="1">
      <alignment horizontal="center" vertical="center" wrapText="1"/>
      <protection/>
    </xf>
    <xf numFmtId="0" fontId="37" fillId="0" borderId="63" xfId="0" applyFont="1" applyBorder="1" applyAlignment="1">
      <alignment vertical="center"/>
    </xf>
    <xf numFmtId="181" fontId="0" fillId="0" borderId="64" xfId="0" applyNumberFormat="1" applyBorder="1" applyAlignment="1">
      <alignment horizontal="center" vertical="center"/>
    </xf>
    <xf numFmtId="181" fontId="3" fillId="0" borderId="64" xfId="0" applyNumberFormat="1" applyFont="1" applyBorder="1" applyAlignment="1">
      <alignment horizontal="center" vertical="center"/>
    </xf>
    <xf numFmtId="0" fontId="0" fillId="0" borderId="67" xfId="0" applyBorder="1" applyAlignment="1">
      <alignment horizontal="center" vertical="center" wrapText="1"/>
    </xf>
    <xf numFmtId="0" fontId="0" fillId="0" borderId="27" xfId="0" applyBorder="1" applyAlignment="1">
      <alignment horizontal="center" vertical="center"/>
    </xf>
    <xf numFmtId="0" fontId="0" fillId="0" borderId="16" xfId="0" applyBorder="1" applyAlignment="1">
      <alignment vertical="center" wrapText="1"/>
    </xf>
    <xf numFmtId="0" fontId="0" fillId="0" borderId="16" xfId="0" applyBorder="1" applyAlignment="1">
      <alignment vertical="center"/>
    </xf>
    <xf numFmtId="0" fontId="0" fillId="0" borderId="16" xfId="0" applyBorder="1" applyAlignment="1">
      <alignment horizontal="center" vertical="center"/>
    </xf>
    <xf numFmtId="0" fontId="0" fillId="0" borderId="63" xfId="0"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distributed" vertical="center" wrapText="1" indent="1"/>
    </xf>
    <xf numFmtId="0" fontId="0" fillId="0" borderId="16" xfId="0" applyBorder="1" applyAlignment="1">
      <alignment horizontal="distributed" vertical="center" indent="1"/>
    </xf>
    <xf numFmtId="181" fontId="0" fillId="0" borderId="51" xfId="0" applyNumberFormat="1" applyBorder="1" applyAlignment="1">
      <alignment horizontal="center" vertical="center"/>
    </xf>
    <xf numFmtId="181" fontId="3" fillId="0" borderId="51" xfId="0" applyNumberFormat="1" applyFont="1" applyBorder="1" applyAlignment="1">
      <alignment horizontal="center" vertical="center"/>
    </xf>
    <xf numFmtId="0" fontId="0" fillId="0" borderId="63" xfId="0" applyBorder="1" applyAlignment="1">
      <alignment horizontal="distributed" vertical="center" indent="1"/>
    </xf>
    <xf numFmtId="0" fontId="0" fillId="0" borderId="63" xfId="0" applyBorder="1" applyAlignment="1">
      <alignment horizontal="right" vertical="center"/>
    </xf>
    <xf numFmtId="0" fontId="0" fillId="0" borderId="63" xfId="0" applyBorder="1" applyAlignment="1">
      <alignment horizontal="center" vertical="center" wrapText="1"/>
    </xf>
    <xf numFmtId="0" fontId="0" fillId="0" borderId="66" xfId="0" applyBorder="1" applyAlignment="1">
      <alignment horizontal="center" vertical="center"/>
    </xf>
    <xf numFmtId="0" fontId="0" fillId="0" borderId="51" xfId="0" applyBorder="1" applyAlignment="1">
      <alignment horizontal="distributed" vertical="center" indent="1"/>
    </xf>
    <xf numFmtId="181" fontId="3" fillId="0" borderId="71" xfId="0" applyNumberFormat="1" applyFont="1" applyBorder="1" applyAlignment="1">
      <alignment horizontal="center" vertical="center"/>
    </xf>
    <xf numFmtId="181" fontId="3" fillId="0" borderId="63" xfId="0" applyNumberFormat="1" applyFont="1" applyBorder="1" applyAlignment="1">
      <alignment horizontal="center" vertical="center"/>
    </xf>
    <xf numFmtId="0" fontId="0" fillId="0" borderId="16" xfId="0" applyBorder="1" applyAlignment="1">
      <alignment horizontal="center" vertical="center" wrapText="1"/>
    </xf>
    <xf numFmtId="0" fontId="0" fillId="0" borderId="64" xfId="0" applyBorder="1" applyAlignment="1">
      <alignment horizontal="distributed" vertical="center" indent="1"/>
    </xf>
    <xf numFmtId="0" fontId="0" fillId="0" borderId="66" xfId="0" applyBorder="1" applyAlignment="1">
      <alignment horizontal="distributed" vertical="center" wrapText="1" indent="1"/>
    </xf>
    <xf numFmtId="0" fontId="0" fillId="0" borderId="62" xfId="0" applyBorder="1" applyAlignment="1">
      <alignment horizontal="distributed" vertical="center" indent="1"/>
    </xf>
    <xf numFmtId="0" fontId="0" fillId="0" borderId="71" xfId="0" applyBorder="1" applyAlignment="1">
      <alignment horizontal="distributed" vertical="center" indent="1"/>
    </xf>
    <xf numFmtId="0" fontId="0" fillId="0" borderId="56" xfId="0" applyBorder="1" applyAlignment="1">
      <alignment horizontal="distributed" vertical="center" indent="1"/>
    </xf>
    <xf numFmtId="0" fontId="3" fillId="0" borderId="51" xfId="0" applyFont="1" applyBorder="1" applyAlignment="1">
      <alignment horizontal="center" vertical="center"/>
    </xf>
    <xf numFmtId="0" fontId="6" fillId="0" borderId="16" xfId="62" applyFont="1" applyFill="1" applyBorder="1" applyAlignment="1">
      <alignment horizontal="center" vertical="center" shrinkToFit="1"/>
      <protection/>
    </xf>
    <xf numFmtId="181" fontId="3" fillId="0" borderId="56" xfId="0" applyNumberFormat="1" applyFont="1" applyBorder="1" applyAlignment="1">
      <alignment horizontal="center" vertical="center"/>
    </xf>
    <xf numFmtId="181" fontId="0" fillId="0" borderId="63" xfId="0" applyNumberFormat="1" applyBorder="1" applyAlignment="1">
      <alignment horizontal="center" vertical="center"/>
    </xf>
    <xf numFmtId="181" fontId="3" fillId="0" borderId="66" xfId="0" applyNumberFormat="1" applyFont="1" applyBorder="1" applyAlignment="1">
      <alignment horizontal="center" vertical="center"/>
    </xf>
    <xf numFmtId="181" fontId="3" fillId="0" borderId="62" xfId="0" applyNumberFormat="1" applyFont="1" applyBorder="1" applyAlignment="1">
      <alignment horizontal="center" vertical="center"/>
    </xf>
    <xf numFmtId="0" fontId="0" fillId="0" borderId="16" xfId="0" applyFont="1" applyBorder="1" applyAlignment="1">
      <alignment horizontal="distributed" vertical="center" wrapText="1" indent="1"/>
    </xf>
    <xf numFmtId="0" fontId="0" fillId="0" borderId="16" xfId="0" applyFont="1" applyBorder="1" applyAlignment="1">
      <alignment horizontal="distributed" vertical="center" indent="1"/>
    </xf>
    <xf numFmtId="0" fontId="6" fillId="33" borderId="0" xfId="62" applyFont="1" applyFill="1" applyBorder="1" applyAlignment="1">
      <alignment horizontal="center"/>
      <protection/>
    </xf>
    <xf numFmtId="0" fontId="6" fillId="33" borderId="19" xfId="62" applyFont="1" applyFill="1" applyBorder="1" applyAlignment="1">
      <alignment horizontal="center"/>
      <protection/>
    </xf>
    <xf numFmtId="0" fontId="0" fillId="0" borderId="95" xfId="0" applyBorder="1" applyAlignment="1">
      <alignment horizontal="center" vertical="center"/>
    </xf>
    <xf numFmtId="0" fontId="0" fillId="0" borderId="121" xfId="0" applyBorder="1" applyAlignment="1">
      <alignment horizontal="center" vertical="center"/>
    </xf>
    <xf numFmtId="0" fontId="0" fillId="0" borderId="93" xfId="0" applyBorder="1" applyAlignment="1">
      <alignment horizontal="center" vertical="center"/>
    </xf>
    <xf numFmtId="0" fontId="0" fillId="0" borderId="122" xfId="0" applyBorder="1" applyAlignment="1">
      <alignment horizontal="center" vertical="center"/>
    </xf>
    <xf numFmtId="0" fontId="37" fillId="0" borderId="63" xfId="0" applyFont="1" applyBorder="1" applyAlignment="1">
      <alignment vertical="center" wrapText="1"/>
    </xf>
    <xf numFmtId="0" fontId="0" fillId="0" borderId="63" xfId="0" applyBorder="1" applyAlignment="1">
      <alignment vertical="center"/>
    </xf>
    <xf numFmtId="184" fontId="0" fillId="0" borderId="64" xfId="0" applyNumberFormat="1" applyBorder="1" applyAlignment="1">
      <alignment horizontal="center" vertical="center"/>
    </xf>
    <xf numFmtId="184" fontId="37" fillId="0" borderId="63" xfId="0" applyNumberFormat="1" applyFont="1" applyBorder="1" applyAlignment="1">
      <alignment vertical="center"/>
    </xf>
    <xf numFmtId="184" fontId="0" fillId="0" borderId="63" xfId="0" applyNumberFormat="1" applyBorder="1" applyAlignment="1">
      <alignment horizontal="center" vertical="center"/>
    </xf>
    <xf numFmtId="0" fontId="0" fillId="0" borderId="16" xfId="0" applyBorder="1" applyAlignment="1">
      <alignment horizontal="center" vertical="center" textRotation="255"/>
    </xf>
    <xf numFmtId="0" fontId="0" fillId="0" borderId="16" xfId="0" applyBorder="1" applyAlignment="1">
      <alignment horizontal="center" vertical="top" textRotation="255" wrapText="1"/>
    </xf>
    <xf numFmtId="0" fontId="0" fillId="0" borderId="16" xfId="0" applyBorder="1" applyAlignment="1">
      <alignment horizontal="center" vertical="top" textRotation="255"/>
    </xf>
    <xf numFmtId="0" fontId="0" fillId="0" borderId="16" xfId="0" applyBorder="1" applyAlignment="1">
      <alignment horizontal="center" vertical="center" textRotation="255" wrapText="1"/>
    </xf>
    <xf numFmtId="0" fontId="47" fillId="34" borderId="0" xfId="62" applyFont="1" applyFill="1" applyBorder="1" applyAlignment="1">
      <alignment horizontal="center"/>
      <protection/>
    </xf>
    <xf numFmtId="0" fontId="23" fillId="34" borderId="0" xfId="62" applyFont="1" applyFill="1" applyBorder="1" applyAlignment="1">
      <alignment horizontal="center"/>
      <protection/>
    </xf>
    <xf numFmtId="0" fontId="24" fillId="34" borderId="0" xfId="62" applyFont="1" applyFill="1" applyBorder="1" applyAlignment="1">
      <alignment horizontal="left"/>
      <protection/>
    </xf>
    <xf numFmtId="0" fontId="23" fillId="34" borderId="0" xfId="62" applyFont="1" applyFill="1" applyBorder="1" applyAlignment="1">
      <alignment horizontal="lef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一般用" xfId="61"/>
    <cellStyle name="標準_個人簿記" xfId="62"/>
    <cellStyle name="標準_申告書" xfId="63"/>
    <cellStyle name="標準_青色決算書" xfId="64"/>
    <cellStyle name="標準_第27-(1)号様式" xfId="65"/>
    <cellStyle name="良い" xfId="66"/>
  </cellStyles>
  <dxfs count="3">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4</xdr:row>
      <xdr:rowOff>28575</xdr:rowOff>
    </xdr:from>
    <xdr:to>
      <xdr:col>9</xdr:col>
      <xdr:colOff>1038225</xdr:colOff>
      <xdr:row>4</xdr:row>
      <xdr:rowOff>257175</xdr:rowOff>
    </xdr:to>
    <xdr:sp macro="[0]!消費税全プロテクト">
      <xdr:nvSpPr>
        <xdr:cNvPr id="1" name="Rectangle 1"/>
        <xdr:cNvSpPr>
          <a:spLocks/>
        </xdr:cNvSpPr>
      </xdr:nvSpPr>
      <xdr:spPr>
        <a:xfrm>
          <a:off x="10191750" y="1724025"/>
          <a:ext cx="990600" cy="228600"/>
        </a:xfrm>
        <a:prstGeom prst="rect">
          <a:avLst/>
        </a:prstGeom>
        <a:solidFill>
          <a:srgbClr val="00FFFF"/>
        </a:solidFill>
        <a:ln w="9525" cmpd="sng">
          <a:solidFill>
            <a:srgbClr val="000000"/>
          </a:solidFill>
          <a:headEnd type="none"/>
          <a:tailEnd type="none"/>
        </a:ln>
      </xdr:spPr>
      <xdr:txBody>
        <a:bodyPr vertOverflow="clip" wrap="square" lIns="18288" tIns="18288" rIns="0" bIns="0"/>
        <a:p>
          <a:pPr algn="l">
            <a:defRPr/>
          </a:pPr>
          <a:r>
            <a:rPr lang="en-US" cap="none" sz="900" b="1" i="0" u="none" baseline="0">
              <a:solidFill>
                <a:srgbClr val="000000"/>
              </a:solidFill>
              <a:latin typeface="ＭＳ Ｐゴシック"/>
              <a:ea typeface="ＭＳ Ｐゴシック"/>
              <a:cs typeface="ＭＳ Ｐゴシック"/>
            </a:rPr>
            <a:t>消費税全プロテクト</a:t>
          </a:r>
        </a:p>
      </xdr:txBody>
    </xdr:sp>
    <xdr:clientData fPrintsWithSheet="0"/>
  </xdr:twoCellAnchor>
  <xdr:twoCellAnchor>
    <xdr:from>
      <xdr:col>1</xdr:col>
      <xdr:colOff>0</xdr:colOff>
      <xdr:row>0</xdr:row>
      <xdr:rowOff>352425</xdr:rowOff>
    </xdr:from>
    <xdr:to>
      <xdr:col>1</xdr:col>
      <xdr:colOff>1028700</xdr:colOff>
      <xdr:row>0</xdr:row>
      <xdr:rowOff>571500</xdr:rowOff>
    </xdr:to>
    <xdr:sp macro="[0]!本則全印刷">
      <xdr:nvSpPr>
        <xdr:cNvPr id="2" name="Rectangle 3"/>
        <xdr:cNvSpPr>
          <a:spLocks/>
        </xdr:cNvSpPr>
      </xdr:nvSpPr>
      <xdr:spPr>
        <a:xfrm>
          <a:off x="104775" y="352425"/>
          <a:ext cx="1028700"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ＭＳ Ｐゴシック"/>
              <a:ea typeface="ＭＳ Ｐゴシック"/>
              <a:cs typeface="ＭＳ Ｐゴシック"/>
            </a:rPr>
            <a:t>本則課税印刷</a:t>
          </a:r>
        </a:p>
      </xdr:txBody>
    </xdr:sp>
    <xdr:clientData fPrintsWithSheet="0"/>
  </xdr:twoCellAnchor>
  <xdr:twoCellAnchor>
    <xdr:from>
      <xdr:col>0</xdr:col>
      <xdr:colOff>85725</xdr:colOff>
      <xdr:row>0</xdr:row>
      <xdr:rowOff>619125</xdr:rowOff>
    </xdr:from>
    <xdr:to>
      <xdr:col>1</xdr:col>
      <xdr:colOff>1009650</xdr:colOff>
      <xdr:row>0</xdr:row>
      <xdr:rowOff>838200</xdr:rowOff>
    </xdr:to>
    <xdr:sp macro="[0]!簡易全印刷">
      <xdr:nvSpPr>
        <xdr:cNvPr id="3" name="Rectangle 4"/>
        <xdr:cNvSpPr>
          <a:spLocks/>
        </xdr:cNvSpPr>
      </xdr:nvSpPr>
      <xdr:spPr>
        <a:xfrm>
          <a:off x="85725" y="619125"/>
          <a:ext cx="1028700"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00"/>
              </a:solidFill>
              <a:latin typeface="ＭＳ Ｐゴシック"/>
              <a:ea typeface="ＭＳ Ｐゴシック"/>
              <a:cs typeface="ＭＳ Ｐゴシック"/>
            </a:rPr>
            <a:t>簡易課税印刷</a:t>
          </a:r>
        </a:p>
      </xdr:txBody>
    </xdr:sp>
    <xdr:clientData fPrintsWithSheet="0"/>
  </xdr:twoCellAnchor>
  <xdr:twoCellAnchor>
    <xdr:from>
      <xdr:col>5</xdr:col>
      <xdr:colOff>619125</xdr:colOff>
      <xdr:row>0</xdr:row>
      <xdr:rowOff>9525</xdr:rowOff>
    </xdr:from>
    <xdr:to>
      <xdr:col>5</xdr:col>
      <xdr:colOff>1609725</xdr:colOff>
      <xdr:row>0</xdr:row>
      <xdr:rowOff>409575</xdr:rowOff>
    </xdr:to>
    <xdr:sp macro="[0]!消費税全データ消去">
      <xdr:nvSpPr>
        <xdr:cNvPr id="4" name="Rectangle 5"/>
        <xdr:cNvSpPr>
          <a:spLocks/>
        </xdr:cNvSpPr>
      </xdr:nvSpPr>
      <xdr:spPr>
        <a:xfrm>
          <a:off x="8715375" y="9525"/>
          <a:ext cx="990600" cy="400050"/>
        </a:xfrm>
        <a:prstGeom prst="rect">
          <a:avLst/>
        </a:prstGeom>
        <a:solidFill>
          <a:srgbClr val="0000FF"/>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FFFFFF"/>
              </a:solidFill>
              <a:latin typeface="ＭＳ Ｐゴシック"/>
              <a:ea typeface="ＭＳ Ｐゴシック"/>
              <a:cs typeface="ＭＳ Ｐゴシック"/>
            </a:rPr>
            <a:t>消費税</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全データ消去</a:t>
          </a:r>
        </a:p>
      </xdr:txBody>
    </xdr:sp>
    <xdr:clientData fPrintsWithSheet="0"/>
  </xdr:twoCellAnchor>
  <xdr:twoCellAnchor>
    <xdr:from>
      <xdr:col>2</xdr:col>
      <xdr:colOff>428625</xdr:colOff>
      <xdr:row>0</xdr:row>
      <xdr:rowOff>400050</xdr:rowOff>
    </xdr:from>
    <xdr:to>
      <xdr:col>2</xdr:col>
      <xdr:colOff>1133475</xdr:colOff>
      <xdr:row>0</xdr:row>
      <xdr:rowOff>609600</xdr:rowOff>
    </xdr:to>
    <xdr:sp macro="[0]!表示入力.表示非表示仕入修正">
      <xdr:nvSpPr>
        <xdr:cNvPr id="5" name="Rectangle 6"/>
        <xdr:cNvSpPr>
          <a:spLocks/>
        </xdr:cNvSpPr>
      </xdr:nvSpPr>
      <xdr:spPr>
        <a:xfrm>
          <a:off x="1609725" y="400050"/>
          <a:ext cx="704850"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仕入修正</a:t>
          </a:r>
        </a:p>
      </xdr:txBody>
    </xdr:sp>
    <xdr:clientData fPrintsWithSheet="0"/>
  </xdr:twoCellAnchor>
  <xdr:twoCellAnchor>
    <xdr:from>
      <xdr:col>2</xdr:col>
      <xdr:colOff>1228725</xdr:colOff>
      <xdr:row>0</xdr:row>
      <xdr:rowOff>400050</xdr:rowOff>
    </xdr:from>
    <xdr:to>
      <xdr:col>3</xdr:col>
      <xdr:colOff>447675</xdr:colOff>
      <xdr:row>0</xdr:row>
      <xdr:rowOff>609600</xdr:rowOff>
    </xdr:to>
    <xdr:sp macro="[0]!表示非表示売上仕入計算">
      <xdr:nvSpPr>
        <xdr:cNvPr id="6" name="Rectangle 7"/>
        <xdr:cNvSpPr>
          <a:spLocks/>
        </xdr:cNvSpPr>
      </xdr:nvSpPr>
      <xdr:spPr>
        <a:xfrm>
          <a:off x="2409825" y="400050"/>
          <a:ext cx="1181100"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売上仕入計算表</a:t>
          </a:r>
        </a:p>
      </xdr:txBody>
    </xdr:sp>
    <xdr:clientData fPrintsWithSheet="0"/>
  </xdr:twoCellAnchor>
  <xdr:twoCellAnchor>
    <xdr:from>
      <xdr:col>2</xdr:col>
      <xdr:colOff>1323975</xdr:colOff>
      <xdr:row>0</xdr:row>
      <xdr:rowOff>28575</xdr:rowOff>
    </xdr:from>
    <xdr:to>
      <xdr:col>3</xdr:col>
      <xdr:colOff>209550</xdr:colOff>
      <xdr:row>0</xdr:row>
      <xdr:rowOff>247650</xdr:rowOff>
    </xdr:to>
    <xdr:sp macro="[0]!表示非表示取引計算表">
      <xdr:nvSpPr>
        <xdr:cNvPr id="7" name="Rectangle 8"/>
        <xdr:cNvSpPr>
          <a:spLocks/>
        </xdr:cNvSpPr>
      </xdr:nvSpPr>
      <xdr:spPr>
        <a:xfrm>
          <a:off x="2505075" y="28575"/>
          <a:ext cx="8477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取引計算表</a:t>
          </a:r>
        </a:p>
      </xdr:txBody>
    </xdr:sp>
    <xdr:clientData fPrintsWithSheet="0"/>
  </xdr:twoCellAnchor>
  <xdr:twoCellAnchor>
    <xdr:from>
      <xdr:col>2</xdr:col>
      <xdr:colOff>438150</xdr:colOff>
      <xdr:row>0</xdr:row>
      <xdr:rowOff>19050</xdr:rowOff>
    </xdr:from>
    <xdr:to>
      <xdr:col>2</xdr:col>
      <xdr:colOff>1133475</xdr:colOff>
      <xdr:row>0</xdr:row>
      <xdr:rowOff>238125</xdr:rowOff>
    </xdr:to>
    <xdr:sp macro="[0]!表示入力.表示非表示売上修正">
      <xdr:nvSpPr>
        <xdr:cNvPr id="8" name="Rectangle 9"/>
        <xdr:cNvSpPr>
          <a:spLocks/>
        </xdr:cNvSpPr>
      </xdr:nvSpPr>
      <xdr:spPr>
        <a:xfrm>
          <a:off x="1619250" y="19050"/>
          <a:ext cx="6953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売上修正</a:t>
          </a:r>
        </a:p>
      </xdr:txBody>
    </xdr:sp>
    <xdr:clientData fPrintsWithSheet="0"/>
  </xdr:twoCellAnchor>
  <xdr:twoCellAnchor>
    <xdr:from>
      <xdr:col>4</xdr:col>
      <xdr:colOff>133350</xdr:colOff>
      <xdr:row>0</xdr:row>
      <xdr:rowOff>400050</xdr:rowOff>
    </xdr:from>
    <xdr:to>
      <xdr:col>4</xdr:col>
      <xdr:colOff>942975</xdr:colOff>
      <xdr:row>0</xdr:row>
      <xdr:rowOff>619125</xdr:rowOff>
    </xdr:to>
    <xdr:sp macro="[0]!表示非表示本則付表2">
      <xdr:nvSpPr>
        <xdr:cNvPr id="9" name="Rectangle 10"/>
        <xdr:cNvSpPr>
          <a:spLocks/>
        </xdr:cNvSpPr>
      </xdr:nvSpPr>
      <xdr:spPr>
        <a:xfrm>
          <a:off x="3771900" y="400050"/>
          <a:ext cx="8096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本則付表２</a:t>
          </a:r>
        </a:p>
      </xdr:txBody>
    </xdr:sp>
    <xdr:clientData fPrintsWithSheet="0"/>
  </xdr:twoCellAnchor>
  <xdr:twoCellAnchor>
    <xdr:from>
      <xdr:col>4</xdr:col>
      <xdr:colOff>1047750</xdr:colOff>
      <xdr:row>0</xdr:row>
      <xdr:rowOff>19050</xdr:rowOff>
    </xdr:from>
    <xdr:to>
      <xdr:col>4</xdr:col>
      <xdr:colOff>2085975</xdr:colOff>
      <xdr:row>0</xdr:row>
      <xdr:rowOff>228600</xdr:rowOff>
    </xdr:to>
    <xdr:sp macro="[0]!表示非表示申告書本則">
      <xdr:nvSpPr>
        <xdr:cNvPr id="10" name="Rectangle 11"/>
        <xdr:cNvSpPr>
          <a:spLocks/>
        </xdr:cNvSpPr>
      </xdr:nvSpPr>
      <xdr:spPr>
        <a:xfrm>
          <a:off x="4686300" y="19050"/>
          <a:ext cx="1038225"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申告書（本則）</a:t>
          </a:r>
        </a:p>
      </xdr:txBody>
    </xdr:sp>
    <xdr:clientData fPrintsWithSheet="0"/>
  </xdr:twoCellAnchor>
  <xdr:twoCellAnchor>
    <xdr:from>
      <xdr:col>4</xdr:col>
      <xdr:colOff>2486025</xdr:colOff>
      <xdr:row>0</xdr:row>
      <xdr:rowOff>28575</xdr:rowOff>
    </xdr:from>
    <xdr:to>
      <xdr:col>4</xdr:col>
      <xdr:colOff>3295650</xdr:colOff>
      <xdr:row>0</xdr:row>
      <xdr:rowOff>247650</xdr:rowOff>
    </xdr:to>
    <xdr:sp macro="[0]!表示非表示簡易付表4">
      <xdr:nvSpPr>
        <xdr:cNvPr id="11" name="Rectangle 12"/>
        <xdr:cNvSpPr>
          <a:spLocks/>
        </xdr:cNvSpPr>
      </xdr:nvSpPr>
      <xdr:spPr>
        <a:xfrm>
          <a:off x="6124575" y="28575"/>
          <a:ext cx="8096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簡易付表４</a:t>
          </a:r>
        </a:p>
      </xdr:txBody>
    </xdr:sp>
    <xdr:clientData fPrintsWithSheet="0"/>
  </xdr:twoCellAnchor>
  <xdr:twoCellAnchor>
    <xdr:from>
      <xdr:col>1</xdr:col>
      <xdr:colOff>47625</xdr:colOff>
      <xdr:row>0</xdr:row>
      <xdr:rowOff>9525</xdr:rowOff>
    </xdr:from>
    <xdr:to>
      <xdr:col>2</xdr:col>
      <xdr:colOff>200025</xdr:colOff>
      <xdr:row>0</xdr:row>
      <xdr:rowOff>285750</xdr:rowOff>
    </xdr:to>
    <xdr:sp macro="[0]!表示非表示表紙入力">
      <xdr:nvSpPr>
        <xdr:cNvPr id="12" name="Rectangle 14"/>
        <xdr:cNvSpPr>
          <a:spLocks/>
        </xdr:cNvSpPr>
      </xdr:nvSpPr>
      <xdr:spPr>
        <a:xfrm>
          <a:off x="152400" y="9525"/>
          <a:ext cx="1228725" cy="276225"/>
        </a:xfrm>
        <a:prstGeom prst="rect">
          <a:avLst/>
        </a:prstGeom>
        <a:solidFill>
          <a:srgbClr val="0000FF"/>
        </a:solidFill>
        <a:ln w="9525" cmpd="sng">
          <a:solidFill>
            <a:srgbClr val="000000"/>
          </a:solidFill>
          <a:headEnd type="none"/>
          <a:tailEnd type="none"/>
        </a:ln>
      </xdr:spPr>
      <xdr:txBody>
        <a:bodyPr vertOverflow="clip" wrap="square" lIns="18288" tIns="18288" rIns="18288" bIns="18288" anchor="ctr"/>
        <a:p>
          <a:pPr algn="ctr">
            <a:defRPr/>
          </a:pPr>
          <a:r>
            <a:rPr lang="en-US" cap="none" sz="1600" b="0" i="0" u="none" baseline="0">
              <a:solidFill>
                <a:srgbClr val="FFFFFF"/>
              </a:solidFill>
            </a:rPr>
            <a:t>←</a:t>
          </a:r>
          <a:r>
            <a:rPr lang="en-US" cap="none" sz="1500" b="0" i="0" u="none" baseline="0">
              <a:solidFill>
                <a:srgbClr val="FFFFFF"/>
              </a:solidFill>
            </a:rPr>
            <a:t>表紙に</a:t>
          </a:r>
          <a:r>
            <a:rPr lang="en-US" cap="none" sz="1500" b="1" i="0" u="none" baseline="0">
              <a:solidFill>
                <a:srgbClr val="FFFFFF"/>
              </a:solidFill>
              <a:latin typeface="ＭＳ Ｐゴシック"/>
              <a:ea typeface="ＭＳ Ｐゴシック"/>
              <a:cs typeface="ＭＳ Ｐゴシック"/>
            </a:rPr>
            <a:t>戻る</a:t>
          </a:r>
        </a:p>
      </xdr:txBody>
    </xdr:sp>
    <xdr:clientData fPrintsWithSheet="0"/>
  </xdr:twoCellAnchor>
  <xdr:twoCellAnchor>
    <xdr:from>
      <xdr:col>9</xdr:col>
      <xdr:colOff>28575</xdr:colOff>
      <xdr:row>2</xdr:row>
      <xdr:rowOff>66675</xdr:rowOff>
    </xdr:from>
    <xdr:to>
      <xdr:col>9</xdr:col>
      <xdr:colOff>962025</xdr:colOff>
      <xdr:row>2</xdr:row>
      <xdr:rowOff>466725</xdr:rowOff>
    </xdr:to>
    <xdr:sp macro="[0]!消費税全プロテクト解除">
      <xdr:nvSpPr>
        <xdr:cNvPr id="13" name="Rectangle 16"/>
        <xdr:cNvSpPr>
          <a:spLocks/>
        </xdr:cNvSpPr>
      </xdr:nvSpPr>
      <xdr:spPr>
        <a:xfrm>
          <a:off x="10172700" y="1085850"/>
          <a:ext cx="933450" cy="400050"/>
        </a:xfrm>
        <a:prstGeom prst="rect">
          <a:avLst/>
        </a:prstGeom>
        <a:solidFill>
          <a:srgbClr val="00FFFF"/>
        </a:solidFill>
        <a:ln w="9525" cmpd="sng">
          <a:solidFill>
            <a:srgbClr val="000000"/>
          </a:solidFill>
          <a:headEnd type="none"/>
          <a:tailEnd type="none"/>
        </a:ln>
      </xdr:spPr>
      <xdr:txBody>
        <a:bodyPr vertOverflow="clip" wrap="square" lIns="18288" tIns="18288" rIns="0" bIns="0"/>
        <a:p>
          <a:pPr algn="l">
            <a:defRPr/>
          </a:pPr>
          <a:r>
            <a:rPr lang="en-US" cap="none" sz="900" b="1" i="0" u="none" baseline="0">
              <a:solidFill>
                <a:srgbClr val="000000"/>
              </a:solidFill>
              <a:latin typeface="ＭＳ Ｐゴシック"/>
              <a:ea typeface="ＭＳ Ｐゴシック"/>
              <a:cs typeface="ＭＳ Ｐゴシック"/>
            </a:rPr>
            <a:t>消費税</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全プロテクト解除</a:t>
          </a:r>
        </a:p>
      </xdr:txBody>
    </xdr:sp>
    <xdr:clientData fPrintsWithSheet="0"/>
  </xdr:twoCellAnchor>
  <xdr:twoCellAnchor editAs="oneCell">
    <xdr:from>
      <xdr:col>1</xdr:col>
      <xdr:colOff>914400</xdr:colOff>
      <xdr:row>24</xdr:row>
      <xdr:rowOff>85725</xdr:rowOff>
    </xdr:from>
    <xdr:to>
      <xdr:col>4</xdr:col>
      <xdr:colOff>2276475</xdr:colOff>
      <xdr:row>32</xdr:row>
      <xdr:rowOff>47625</xdr:rowOff>
    </xdr:to>
    <xdr:pic>
      <xdr:nvPicPr>
        <xdr:cNvPr id="14" name="図 16"/>
        <xdr:cNvPicPr preferRelativeResize="1">
          <a:picLocks noChangeAspect="1"/>
        </xdr:cNvPicPr>
      </xdr:nvPicPr>
      <xdr:blipFill>
        <a:blip r:embed="rId1"/>
        <a:stretch>
          <a:fillRect/>
        </a:stretch>
      </xdr:blipFill>
      <xdr:spPr>
        <a:xfrm>
          <a:off x="1019175" y="6705600"/>
          <a:ext cx="4895850" cy="1485900"/>
        </a:xfrm>
        <a:prstGeom prst="rect">
          <a:avLst/>
        </a:prstGeom>
        <a:noFill/>
        <a:ln w="9525" cmpd="sng">
          <a:noFill/>
        </a:ln>
      </xdr:spPr>
    </xdr:pic>
    <xdr:clientData/>
  </xdr:twoCellAnchor>
  <xdr:twoCellAnchor>
    <xdr:from>
      <xdr:col>4</xdr:col>
      <xdr:colOff>2447925</xdr:colOff>
      <xdr:row>23</xdr:row>
      <xdr:rowOff>161925</xdr:rowOff>
    </xdr:from>
    <xdr:to>
      <xdr:col>5</xdr:col>
      <xdr:colOff>1743075</xdr:colOff>
      <xdr:row>31</xdr:row>
      <xdr:rowOff>161925</xdr:rowOff>
    </xdr:to>
    <xdr:sp>
      <xdr:nvSpPr>
        <xdr:cNvPr id="15" name="左矢印吹き出し 1"/>
        <xdr:cNvSpPr>
          <a:spLocks/>
        </xdr:cNvSpPr>
      </xdr:nvSpPr>
      <xdr:spPr>
        <a:xfrm>
          <a:off x="6086475" y="6591300"/>
          <a:ext cx="3752850" cy="1524000"/>
        </a:xfrm>
        <a:prstGeom prst="leftArrowCallout">
          <a:avLst>
            <a:gd name="adj1" fmla="val -29212"/>
            <a:gd name="adj2" fmla="val -39828"/>
          </a:avLst>
        </a:prstGeom>
        <a:solidFill>
          <a:srgbClr val="FFFFFF"/>
        </a:solidFill>
        <a:ln w="25400" cmpd="sng">
          <a:solidFill>
            <a:srgbClr val="385D8A"/>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このメッセージが出てきたときは、</a:t>
          </a:r>
          <a:r>
            <a:rPr lang="en-US" cap="none" sz="2000" b="1" i="0" u="none" baseline="0">
              <a:solidFill>
                <a:srgbClr val="000000"/>
              </a:solidFill>
              <a:latin typeface="ＭＳ Ｐゴシック"/>
              <a:ea typeface="ＭＳ Ｐゴシック"/>
              <a:cs typeface="ＭＳ Ｐゴシック"/>
            </a:rPr>
            <a:t>続行</a:t>
          </a:r>
          <a:r>
            <a:rPr lang="en-US" cap="none" sz="2000" b="1" i="0" u="none" baseline="0">
              <a:solidFill>
                <a:srgbClr val="000000"/>
              </a:solidFill>
            </a:rPr>
            <a:t>(C)</a:t>
          </a:r>
          <a:r>
            <a:rPr lang="en-US" cap="none" sz="2000" b="1" i="0" u="none" baseline="0">
              <a:solidFill>
                <a:srgbClr val="000000"/>
              </a:solidFill>
              <a:latin typeface="ＭＳ Ｐゴシック"/>
              <a:ea typeface="ＭＳ Ｐゴシック"/>
              <a:cs typeface="ＭＳ Ｐゴシック"/>
            </a:rPr>
            <a:t>ボタンをクリックしてください。</a:t>
          </a:r>
        </a:p>
      </xdr:txBody>
    </xdr:sp>
    <xdr:clientData/>
  </xdr:twoCellAnchor>
  <xdr:twoCellAnchor>
    <xdr:from>
      <xdr:col>4</xdr:col>
      <xdr:colOff>142875</xdr:colOff>
      <xdr:row>0</xdr:row>
      <xdr:rowOff>0</xdr:rowOff>
    </xdr:from>
    <xdr:to>
      <xdr:col>4</xdr:col>
      <xdr:colOff>952500</xdr:colOff>
      <xdr:row>0</xdr:row>
      <xdr:rowOff>219075</xdr:rowOff>
    </xdr:to>
    <xdr:sp macro="[0]!表示非表示本則付表1">
      <xdr:nvSpPr>
        <xdr:cNvPr id="16" name="Rectangle 10"/>
        <xdr:cNvSpPr>
          <a:spLocks/>
        </xdr:cNvSpPr>
      </xdr:nvSpPr>
      <xdr:spPr>
        <a:xfrm>
          <a:off x="3781425" y="0"/>
          <a:ext cx="8096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本則付表１</a:t>
          </a:r>
        </a:p>
      </xdr:txBody>
    </xdr:sp>
    <xdr:clientData fPrintsWithSheet="0"/>
  </xdr:twoCellAnchor>
  <xdr:twoCellAnchor>
    <xdr:from>
      <xdr:col>4</xdr:col>
      <xdr:colOff>3448050</xdr:colOff>
      <xdr:row>0</xdr:row>
      <xdr:rowOff>28575</xdr:rowOff>
    </xdr:from>
    <xdr:to>
      <xdr:col>5</xdr:col>
      <xdr:colOff>38100</xdr:colOff>
      <xdr:row>0</xdr:row>
      <xdr:rowOff>247650</xdr:rowOff>
    </xdr:to>
    <xdr:sp macro="[0]!表示非表示申告書簡易">
      <xdr:nvSpPr>
        <xdr:cNvPr id="17" name="Rectangle 13"/>
        <xdr:cNvSpPr>
          <a:spLocks/>
        </xdr:cNvSpPr>
      </xdr:nvSpPr>
      <xdr:spPr>
        <a:xfrm>
          <a:off x="7086600" y="28575"/>
          <a:ext cx="1047750"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申告書（簡易）</a:t>
          </a:r>
        </a:p>
      </xdr:txBody>
    </xdr:sp>
    <xdr:clientData fPrintsWithSheet="0"/>
  </xdr:twoCellAnchor>
  <xdr:twoCellAnchor>
    <xdr:from>
      <xdr:col>4</xdr:col>
      <xdr:colOff>2495550</xdr:colOff>
      <xdr:row>0</xdr:row>
      <xdr:rowOff>342900</xdr:rowOff>
    </xdr:from>
    <xdr:to>
      <xdr:col>4</xdr:col>
      <xdr:colOff>3305175</xdr:colOff>
      <xdr:row>0</xdr:row>
      <xdr:rowOff>561975</xdr:rowOff>
    </xdr:to>
    <xdr:sp macro="[0]!表示非表示簡易付表5">
      <xdr:nvSpPr>
        <xdr:cNvPr id="18" name="Rectangle 12"/>
        <xdr:cNvSpPr>
          <a:spLocks/>
        </xdr:cNvSpPr>
      </xdr:nvSpPr>
      <xdr:spPr>
        <a:xfrm>
          <a:off x="6134100" y="342900"/>
          <a:ext cx="8096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p>
          <a:pPr algn="ctr">
            <a:defRPr/>
          </a:pPr>
          <a:r>
            <a:rPr lang="en-US" cap="none" sz="1200" b="1" i="0" u="none" baseline="0">
              <a:solidFill>
                <a:srgbClr val="0000FF"/>
              </a:solidFill>
              <a:latin typeface="ＭＳ Ｐゴシック"/>
              <a:ea typeface="ＭＳ Ｐゴシック"/>
              <a:cs typeface="ＭＳ Ｐゴシック"/>
            </a:rPr>
            <a:t>簡易付表５</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762000</xdr:colOff>
      <xdr:row>0</xdr:row>
      <xdr:rowOff>0</xdr:rowOff>
    </xdr:from>
    <xdr:ext cx="2714625" cy="304800"/>
    <xdr:sp macro="[0]!表示非表示最初入力">
      <xdr:nvSpPr>
        <xdr:cNvPr id="1" name="Rectangle 1"/>
        <xdr:cNvSpPr>
          <a:spLocks/>
        </xdr:cNvSpPr>
      </xdr:nvSpPr>
      <xdr:spPr>
        <a:xfrm>
          <a:off x="762000" y="0"/>
          <a:ext cx="2714625"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a:t>
          </a: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0</xdr:row>
      <xdr:rowOff>0</xdr:rowOff>
    </xdr:from>
    <xdr:to>
      <xdr:col>7</xdr:col>
      <xdr:colOff>657225</xdr:colOff>
      <xdr:row>0</xdr:row>
      <xdr:rowOff>219075</xdr:rowOff>
    </xdr:to>
    <xdr:sp macro="[0]!不動産売上仕入修正印刷">
      <xdr:nvSpPr>
        <xdr:cNvPr id="1" name="Rectangle 1"/>
        <xdr:cNvSpPr>
          <a:spLocks/>
        </xdr:cNvSpPr>
      </xdr:nvSpPr>
      <xdr:spPr>
        <a:xfrm>
          <a:off x="4238625" y="0"/>
          <a:ext cx="371475" cy="2190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twoCellAnchor>
    <xdr:from>
      <xdr:col>1</xdr:col>
      <xdr:colOff>57150</xdr:colOff>
      <xdr:row>0</xdr:row>
      <xdr:rowOff>0</xdr:rowOff>
    </xdr:from>
    <xdr:to>
      <xdr:col>6</xdr:col>
      <xdr:colOff>47625</xdr:colOff>
      <xdr:row>0</xdr:row>
      <xdr:rowOff>295275</xdr:rowOff>
    </xdr:to>
    <xdr:sp macro="[0]!表示非表示最初入力">
      <xdr:nvSpPr>
        <xdr:cNvPr id="2" name="Rectangle 26"/>
        <xdr:cNvSpPr>
          <a:spLocks/>
        </xdr:cNvSpPr>
      </xdr:nvSpPr>
      <xdr:spPr>
        <a:xfrm>
          <a:off x="152400" y="0"/>
          <a:ext cx="2838450" cy="295275"/>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xdr:row>
      <xdr:rowOff>85725</xdr:rowOff>
    </xdr:from>
    <xdr:to>
      <xdr:col>5</xdr:col>
      <xdr:colOff>180975</xdr:colOff>
      <xdr:row>2</xdr:row>
      <xdr:rowOff>19050</xdr:rowOff>
    </xdr:to>
    <xdr:sp macro="[0]!表示非表示最初入力">
      <xdr:nvSpPr>
        <xdr:cNvPr id="1" name="Rectangle 3"/>
        <xdr:cNvSpPr>
          <a:spLocks/>
        </xdr:cNvSpPr>
      </xdr:nvSpPr>
      <xdr:spPr>
        <a:xfrm>
          <a:off x="342900" y="85725"/>
          <a:ext cx="3124200" cy="32385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twoCellAnchor>
    <xdr:from>
      <xdr:col>6</xdr:col>
      <xdr:colOff>790575</xdr:colOff>
      <xdr:row>1</xdr:row>
      <xdr:rowOff>57150</xdr:rowOff>
    </xdr:from>
    <xdr:to>
      <xdr:col>7</xdr:col>
      <xdr:colOff>476250</xdr:colOff>
      <xdr:row>1</xdr:row>
      <xdr:rowOff>361950</xdr:rowOff>
    </xdr:to>
    <xdr:sp macro="[0]!簡易付表5印刷">
      <xdr:nvSpPr>
        <xdr:cNvPr id="2" name="Rectangle 1"/>
        <xdr:cNvSpPr>
          <a:spLocks/>
        </xdr:cNvSpPr>
      </xdr:nvSpPr>
      <xdr:spPr>
        <a:xfrm>
          <a:off x="4267200" y="57150"/>
          <a:ext cx="504825" cy="304800"/>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ctr">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123825</xdr:colOff>
      <xdr:row>0</xdr:row>
      <xdr:rowOff>285750</xdr:rowOff>
    </xdr:to>
    <xdr:sp macro="[0]!表示非表示最初入力">
      <xdr:nvSpPr>
        <xdr:cNvPr id="1" name="Rectangle 3"/>
        <xdr:cNvSpPr>
          <a:spLocks/>
        </xdr:cNvSpPr>
      </xdr:nvSpPr>
      <xdr:spPr>
        <a:xfrm>
          <a:off x="161925" y="0"/>
          <a:ext cx="2790825" cy="28575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twoCellAnchor>
    <xdr:from>
      <xdr:col>5</xdr:col>
      <xdr:colOff>0</xdr:colOff>
      <xdr:row>0</xdr:row>
      <xdr:rowOff>0</xdr:rowOff>
    </xdr:from>
    <xdr:to>
      <xdr:col>5</xdr:col>
      <xdr:colOff>514350</xdr:colOff>
      <xdr:row>0</xdr:row>
      <xdr:rowOff>219075</xdr:rowOff>
    </xdr:to>
    <xdr:sp macro="[0]!簡易付表4印刷">
      <xdr:nvSpPr>
        <xdr:cNvPr id="2" name="Rectangle 1"/>
        <xdr:cNvSpPr>
          <a:spLocks/>
        </xdr:cNvSpPr>
      </xdr:nvSpPr>
      <xdr:spPr>
        <a:xfrm>
          <a:off x="3838575" y="0"/>
          <a:ext cx="514350" cy="2190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ctr">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10</xdr:col>
      <xdr:colOff>552450</xdr:colOff>
      <xdr:row>67</xdr:row>
      <xdr:rowOff>38100</xdr:rowOff>
    </xdr:to>
    <xdr:pic>
      <xdr:nvPicPr>
        <xdr:cNvPr id="1" name="図 1" descr="消費税の還付申告に関する明細書（個人事業者用）1面"/>
        <xdr:cNvPicPr preferRelativeResize="1">
          <a:picLocks noChangeAspect="1"/>
        </xdr:cNvPicPr>
      </xdr:nvPicPr>
      <xdr:blipFill>
        <a:blip r:embed="rId1"/>
        <a:stretch>
          <a:fillRect/>
        </a:stretch>
      </xdr:blipFill>
      <xdr:spPr>
        <a:xfrm>
          <a:off x="685800" y="342900"/>
          <a:ext cx="6724650" cy="11182350"/>
        </a:xfrm>
        <a:prstGeom prst="rect">
          <a:avLst/>
        </a:prstGeom>
        <a:noFill/>
        <a:ln w="9525" cmpd="sng">
          <a:noFill/>
        </a:ln>
      </xdr:spPr>
    </xdr:pic>
    <xdr:clientData/>
  </xdr:twoCellAnchor>
  <xdr:twoCellAnchor editAs="oneCell">
    <xdr:from>
      <xdr:col>12</xdr:col>
      <xdr:colOff>0</xdr:colOff>
      <xdr:row>2</xdr:row>
      <xdr:rowOff>0</xdr:rowOff>
    </xdr:from>
    <xdr:to>
      <xdr:col>21</xdr:col>
      <xdr:colOff>571500</xdr:colOff>
      <xdr:row>68</xdr:row>
      <xdr:rowOff>161925</xdr:rowOff>
    </xdr:to>
    <xdr:pic>
      <xdr:nvPicPr>
        <xdr:cNvPr id="2" name="図 2" descr="消費税の還付申告に関する明細書（個人事業者用）2面"/>
        <xdr:cNvPicPr preferRelativeResize="1">
          <a:picLocks noChangeAspect="1"/>
        </xdr:cNvPicPr>
      </xdr:nvPicPr>
      <xdr:blipFill>
        <a:blip r:embed="rId2"/>
        <a:stretch>
          <a:fillRect/>
        </a:stretch>
      </xdr:blipFill>
      <xdr:spPr>
        <a:xfrm>
          <a:off x="8229600" y="342900"/>
          <a:ext cx="6743700" cy="1147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10</xdr:col>
      <xdr:colOff>409575</xdr:colOff>
      <xdr:row>0</xdr:row>
      <xdr:rowOff>304800</xdr:rowOff>
    </xdr:to>
    <xdr:sp macro="[0]!表示非表示最初入力">
      <xdr:nvSpPr>
        <xdr:cNvPr id="1" name="Rectangle 4"/>
        <xdr:cNvSpPr>
          <a:spLocks/>
        </xdr:cNvSpPr>
      </xdr:nvSpPr>
      <xdr:spPr>
        <a:xfrm>
          <a:off x="200025" y="0"/>
          <a:ext cx="270510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twoCellAnchor>
    <xdr:from>
      <xdr:col>11</xdr:col>
      <xdr:colOff>19050</xdr:colOff>
      <xdr:row>0</xdr:row>
      <xdr:rowOff>19050</xdr:rowOff>
    </xdr:from>
    <xdr:to>
      <xdr:col>11</xdr:col>
      <xdr:colOff>533400</xdr:colOff>
      <xdr:row>0</xdr:row>
      <xdr:rowOff>238125</xdr:rowOff>
    </xdr:to>
    <xdr:sp macro="[0]!売上修正印刷">
      <xdr:nvSpPr>
        <xdr:cNvPr id="2" name="Rectangle 1"/>
        <xdr:cNvSpPr>
          <a:spLocks/>
        </xdr:cNvSpPr>
      </xdr:nvSpPr>
      <xdr:spPr>
        <a:xfrm>
          <a:off x="3609975" y="19050"/>
          <a:ext cx="514350" cy="2190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ctr">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0</xdr:rowOff>
    </xdr:from>
    <xdr:to>
      <xdr:col>10</xdr:col>
      <xdr:colOff>2371725</xdr:colOff>
      <xdr:row>0</xdr:row>
      <xdr:rowOff>304800</xdr:rowOff>
    </xdr:to>
    <xdr:sp macro="[0]!表示非表示最初入力">
      <xdr:nvSpPr>
        <xdr:cNvPr id="1" name="Rectangle 4"/>
        <xdr:cNvSpPr>
          <a:spLocks/>
        </xdr:cNvSpPr>
      </xdr:nvSpPr>
      <xdr:spPr>
        <a:xfrm>
          <a:off x="285750" y="0"/>
          <a:ext cx="270510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twoCellAnchor>
    <xdr:from>
      <xdr:col>11</xdr:col>
      <xdr:colOff>571500</xdr:colOff>
      <xdr:row>0</xdr:row>
      <xdr:rowOff>0</xdr:rowOff>
    </xdr:from>
    <xdr:to>
      <xdr:col>11</xdr:col>
      <xdr:colOff>1085850</xdr:colOff>
      <xdr:row>0</xdr:row>
      <xdr:rowOff>276225</xdr:rowOff>
    </xdr:to>
    <xdr:sp macro="[0]!仕入修正印刷">
      <xdr:nvSpPr>
        <xdr:cNvPr id="2" name="Rectangle 1"/>
        <xdr:cNvSpPr>
          <a:spLocks/>
        </xdr:cNvSpPr>
      </xdr:nvSpPr>
      <xdr:spPr>
        <a:xfrm>
          <a:off x="3781425" y="0"/>
          <a:ext cx="514350" cy="27622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ctr">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3</xdr:col>
      <xdr:colOff>257175</xdr:colOff>
      <xdr:row>0</xdr:row>
      <xdr:rowOff>304800</xdr:rowOff>
    </xdr:to>
    <xdr:sp macro="[0]!表示非表示最初入力">
      <xdr:nvSpPr>
        <xdr:cNvPr id="1" name="Rectangle 3"/>
        <xdr:cNvSpPr>
          <a:spLocks/>
        </xdr:cNvSpPr>
      </xdr:nvSpPr>
      <xdr:spPr>
        <a:xfrm>
          <a:off x="323850" y="0"/>
          <a:ext cx="270510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twoCellAnchor>
    <xdr:from>
      <xdr:col>5</xdr:col>
      <xdr:colOff>257175</xdr:colOff>
      <xdr:row>0</xdr:row>
      <xdr:rowOff>38100</xdr:rowOff>
    </xdr:from>
    <xdr:to>
      <xdr:col>5</xdr:col>
      <xdr:colOff>771525</xdr:colOff>
      <xdr:row>0</xdr:row>
      <xdr:rowOff>257175</xdr:rowOff>
    </xdr:to>
    <xdr:sp macro="[0]!取引計算表印刷">
      <xdr:nvSpPr>
        <xdr:cNvPr id="2" name="Rectangle 1"/>
        <xdr:cNvSpPr>
          <a:spLocks/>
        </xdr:cNvSpPr>
      </xdr:nvSpPr>
      <xdr:spPr>
        <a:xfrm>
          <a:off x="3895725" y="38100"/>
          <a:ext cx="514350" cy="2190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ctr">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2</xdr:col>
      <xdr:colOff>2257425</xdr:colOff>
      <xdr:row>0</xdr:row>
      <xdr:rowOff>304800</xdr:rowOff>
    </xdr:to>
    <xdr:sp macro="[0]!表示非表示最初入力">
      <xdr:nvSpPr>
        <xdr:cNvPr id="1" name="Rectangle 2"/>
        <xdr:cNvSpPr>
          <a:spLocks/>
        </xdr:cNvSpPr>
      </xdr:nvSpPr>
      <xdr:spPr>
        <a:xfrm>
          <a:off x="352425" y="0"/>
          <a:ext cx="270510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twoCellAnchor>
    <xdr:from>
      <xdr:col>4</xdr:col>
      <xdr:colOff>0</xdr:colOff>
      <xdr:row>0</xdr:row>
      <xdr:rowOff>0</xdr:rowOff>
    </xdr:from>
    <xdr:to>
      <xdr:col>4</xdr:col>
      <xdr:colOff>514350</xdr:colOff>
      <xdr:row>0</xdr:row>
      <xdr:rowOff>219075</xdr:rowOff>
    </xdr:to>
    <xdr:sp macro="[0]!売上仕入計算印刷">
      <xdr:nvSpPr>
        <xdr:cNvPr id="2" name="Rectangle 1"/>
        <xdr:cNvSpPr>
          <a:spLocks/>
        </xdr:cNvSpPr>
      </xdr:nvSpPr>
      <xdr:spPr>
        <a:xfrm>
          <a:off x="3790950" y="0"/>
          <a:ext cx="514350" cy="2190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ctr">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2</xdr:row>
      <xdr:rowOff>38100</xdr:rowOff>
    </xdr:from>
    <xdr:to>
      <xdr:col>10</xdr:col>
      <xdr:colOff>361950</xdr:colOff>
      <xdr:row>4</xdr:row>
      <xdr:rowOff>0</xdr:rowOff>
    </xdr:to>
    <xdr:sp>
      <xdr:nvSpPr>
        <xdr:cNvPr id="1" name="AutoShape 1"/>
        <xdr:cNvSpPr>
          <a:spLocks/>
        </xdr:cNvSpPr>
      </xdr:nvSpPr>
      <xdr:spPr>
        <a:xfrm>
          <a:off x="5295900" y="600075"/>
          <a:ext cx="2247900" cy="3048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0</xdr:row>
      <xdr:rowOff>38100</xdr:rowOff>
    </xdr:from>
    <xdr:to>
      <xdr:col>4</xdr:col>
      <xdr:colOff>771525</xdr:colOff>
      <xdr:row>0</xdr:row>
      <xdr:rowOff>342900</xdr:rowOff>
    </xdr:to>
    <xdr:sp macro="[0]!表示非表示最初入力">
      <xdr:nvSpPr>
        <xdr:cNvPr id="2" name="Rectangle 2"/>
        <xdr:cNvSpPr>
          <a:spLocks/>
        </xdr:cNvSpPr>
      </xdr:nvSpPr>
      <xdr:spPr>
        <a:xfrm>
          <a:off x="333375" y="38100"/>
          <a:ext cx="270510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twoCellAnchor>
    <xdr:from>
      <xdr:col>6</xdr:col>
      <xdr:colOff>0</xdr:colOff>
      <xdr:row>0</xdr:row>
      <xdr:rowOff>0</xdr:rowOff>
    </xdr:from>
    <xdr:to>
      <xdr:col>6</xdr:col>
      <xdr:colOff>514350</xdr:colOff>
      <xdr:row>0</xdr:row>
      <xdr:rowOff>219075</xdr:rowOff>
    </xdr:to>
    <xdr:sp macro="[0]!本則付表1印刷">
      <xdr:nvSpPr>
        <xdr:cNvPr id="3" name="Rectangle 1"/>
        <xdr:cNvSpPr>
          <a:spLocks/>
        </xdr:cNvSpPr>
      </xdr:nvSpPr>
      <xdr:spPr>
        <a:xfrm>
          <a:off x="3905250" y="0"/>
          <a:ext cx="514350" cy="2190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ctr">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57150</xdr:rowOff>
    </xdr:from>
    <xdr:to>
      <xdr:col>6</xdr:col>
      <xdr:colOff>552450</xdr:colOff>
      <xdr:row>2</xdr:row>
      <xdr:rowOff>19050</xdr:rowOff>
    </xdr:to>
    <xdr:sp macro="[0]!表示非表示最初入力">
      <xdr:nvSpPr>
        <xdr:cNvPr id="1" name="Rectangle 2"/>
        <xdr:cNvSpPr>
          <a:spLocks/>
        </xdr:cNvSpPr>
      </xdr:nvSpPr>
      <xdr:spPr>
        <a:xfrm>
          <a:off x="114300" y="66675"/>
          <a:ext cx="2705100" cy="314325"/>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twoCellAnchor>
    <xdr:from>
      <xdr:col>8</xdr:col>
      <xdr:colOff>0</xdr:colOff>
      <xdr:row>0</xdr:row>
      <xdr:rowOff>0</xdr:rowOff>
    </xdr:from>
    <xdr:to>
      <xdr:col>8</xdr:col>
      <xdr:colOff>428625</xdr:colOff>
      <xdr:row>1</xdr:row>
      <xdr:rowOff>66675</xdr:rowOff>
    </xdr:to>
    <xdr:sp macro="[0]!本則付表2印刷">
      <xdr:nvSpPr>
        <xdr:cNvPr id="2" name="Rectangle 1"/>
        <xdr:cNvSpPr>
          <a:spLocks/>
        </xdr:cNvSpPr>
      </xdr:nvSpPr>
      <xdr:spPr>
        <a:xfrm>
          <a:off x="3714750" y="0"/>
          <a:ext cx="428625" cy="266700"/>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ctr">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3</xdr:row>
      <xdr:rowOff>95250</xdr:rowOff>
    </xdr:from>
    <xdr:to>
      <xdr:col>5</xdr:col>
      <xdr:colOff>1114425</xdr:colOff>
      <xdr:row>3</xdr:row>
      <xdr:rowOff>314325</xdr:rowOff>
    </xdr:to>
    <xdr:sp macro="[0]!申告書本則印刷">
      <xdr:nvSpPr>
        <xdr:cNvPr id="1" name="Rectangle 1"/>
        <xdr:cNvSpPr>
          <a:spLocks/>
        </xdr:cNvSpPr>
      </xdr:nvSpPr>
      <xdr:spPr>
        <a:xfrm>
          <a:off x="3619500" y="95250"/>
          <a:ext cx="514350" cy="2190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ctr">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twoCellAnchor>
    <xdr:from>
      <xdr:col>0</xdr:col>
      <xdr:colOff>85725</xdr:colOff>
      <xdr:row>0</xdr:row>
      <xdr:rowOff>0</xdr:rowOff>
    </xdr:from>
    <xdr:to>
      <xdr:col>5</xdr:col>
      <xdr:colOff>190500</xdr:colOff>
      <xdr:row>3</xdr:row>
      <xdr:rowOff>333375</xdr:rowOff>
    </xdr:to>
    <xdr:sp macro="[0]!表示非表示最初入力">
      <xdr:nvSpPr>
        <xdr:cNvPr id="2" name="Rectangle 3"/>
        <xdr:cNvSpPr>
          <a:spLocks/>
        </xdr:cNvSpPr>
      </xdr:nvSpPr>
      <xdr:spPr>
        <a:xfrm>
          <a:off x="85725" y="0"/>
          <a:ext cx="3124200" cy="333375"/>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5</xdr:col>
      <xdr:colOff>219075</xdr:colOff>
      <xdr:row>0</xdr:row>
      <xdr:rowOff>285750</xdr:rowOff>
    </xdr:to>
    <xdr:sp macro="[0]!表示非表示最初入力">
      <xdr:nvSpPr>
        <xdr:cNvPr id="1" name="Rectangle 3"/>
        <xdr:cNvSpPr>
          <a:spLocks/>
        </xdr:cNvSpPr>
      </xdr:nvSpPr>
      <xdr:spPr>
        <a:xfrm>
          <a:off x="209550" y="0"/>
          <a:ext cx="2790825" cy="28575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600" b="0" i="0" u="none" baseline="0">
              <a:solidFill>
                <a:srgbClr val="0000FF"/>
              </a:solidFill>
            </a:rPr>
            <a:t>←</a:t>
          </a:r>
          <a:r>
            <a:rPr lang="en-US" cap="none" sz="1600" b="0" i="0" u="none" baseline="0">
              <a:solidFill>
                <a:srgbClr val="0000FF"/>
              </a:solidFill>
            </a:rPr>
            <a:t>消費税最初のページに戻る</a:t>
          </a:r>
        </a:p>
      </xdr:txBody>
    </xdr:sp>
    <xdr:clientData fPrintsWithSheet="0"/>
  </xdr:twoCellAnchor>
  <xdr:twoCellAnchor>
    <xdr:from>
      <xdr:col>8</xdr:col>
      <xdr:colOff>0</xdr:colOff>
      <xdr:row>0</xdr:row>
      <xdr:rowOff>0</xdr:rowOff>
    </xdr:from>
    <xdr:to>
      <xdr:col>8</xdr:col>
      <xdr:colOff>514350</xdr:colOff>
      <xdr:row>0</xdr:row>
      <xdr:rowOff>219075</xdr:rowOff>
    </xdr:to>
    <xdr:sp macro="[0]!申告書簡易印刷">
      <xdr:nvSpPr>
        <xdr:cNvPr id="2" name="Rectangle 1"/>
        <xdr:cNvSpPr>
          <a:spLocks/>
        </xdr:cNvSpPr>
      </xdr:nvSpPr>
      <xdr:spPr>
        <a:xfrm>
          <a:off x="4543425" y="0"/>
          <a:ext cx="514350" cy="21907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ctr">
            <a:defRPr/>
          </a:pPr>
          <a:r>
            <a:rPr lang="en-US" cap="none" sz="1200" b="1" i="0" u="none" baseline="0">
              <a:solidFill>
                <a:srgbClr val="000000"/>
              </a:solidFill>
              <a:latin typeface="ＭＳ Ｐゴシック"/>
              <a:ea typeface="ＭＳ Ｐゴシック"/>
              <a:cs typeface="ＭＳ Ｐゴシック"/>
            </a:rPr>
            <a:t>印刷</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91;&#20154;&#31807;&#35352;1502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491;&#20154;&#31807;&#35352;150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簿記150205"/>
      <sheetName val="仕訳作業"/>
      <sheetName val="表紙"/>
      <sheetName val="基本情報"/>
      <sheetName val="貸借対照表"/>
      <sheetName val="決算書"/>
      <sheetName val="損益計算書"/>
      <sheetName val="損益計算書2"/>
      <sheetName val="収益収入"/>
      <sheetName val="費用支出"/>
      <sheetName val="複合仕訳"/>
      <sheetName val="ﾒﾆｭｰ"/>
      <sheetName val="耐用年数参考"/>
      <sheetName val="貸借預金"/>
      <sheetName val="在庫"/>
      <sheetName val="減価償却"/>
      <sheetName val="家畜償却"/>
      <sheetName val="育成牛"/>
      <sheetName val="肥育牛・販売用牛"/>
      <sheetName val="育成果樹"/>
      <sheetName val="建設仮勘定"/>
      <sheetName val="調整"/>
      <sheetName val="通帳検証"/>
      <sheetName val="減価償却2"/>
      <sheetName val="年度・資本"/>
      <sheetName val="元帳"/>
      <sheetName val="精算表"/>
      <sheetName val="各仕訳帳"/>
      <sheetName val="仕訳原本"/>
      <sheetName val="作業"/>
      <sheetName val="作業表紙"/>
      <sheetName val="仕訳帳"/>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仕訳作業"/>
      <sheetName val="表紙"/>
      <sheetName val="基本情報"/>
      <sheetName val="貸借対照表"/>
      <sheetName val="決算書"/>
      <sheetName val="損益計算書"/>
      <sheetName val="損益計算書2"/>
      <sheetName val="収益収入"/>
      <sheetName val="費用支出"/>
      <sheetName val="複合仕訳"/>
      <sheetName val="ﾒﾆｭｰ"/>
      <sheetName val="耐用年数参考"/>
      <sheetName val="貸借預金"/>
      <sheetName val="在庫"/>
      <sheetName val="減価償却"/>
      <sheetName val="家畜償却"/>
      <sheetName val="育成牛"/>
      <sheetName val="肥育牛・販売用牛"/>
      <sheetName val="育成果樹"/>
      <sheetName val="建設仮勘定"/>
      <sheetName val="調整"/>
      <sheetName val="通帳検証"/>
      <sheetName val="減価償却2"/>
      <sheetName val="年度・資本"/>
      <sheetName val="元帳"/>
      <sheetName val="精算表"/>
      <sheetName val="各仕訳帳"/>
      <sheetName val="仕訳原本"/>
      <sheetName val="作業"/>
      <sheetName val="作業表紙"/>
      <sheetName val="仕訳帳"/>
    </sheetNames>
    <sheetDataSet>
      <sheetData sheetId="4">
        <row r="11">
          <cell r="C11" t="str">
            <v>販売金額(売上高)</v>
          </cell>
        </row>
        <row r="12">
          <cell r="C12" t="str">
            <v>家 事 消 費
事 業 消 費</v>
          </cell>
        </row>
        <row r="13">
          <cell r="C13" t="str">
            <v>雑収入</v>
          </cell>
        </row>
      </sheetData>
      <sheetData sheetId="5">
        <row r="35">
          <cell r="D35">
            <v>0</v>
          </cell>
        </row>
        <row r="36">
          <cell r="D36">
            <v>0</v>
          </cell>
        </row>
        <row r="37">
          <cell r="H37">
            <v>0</v>
          </cell>
        </row>
        <row r="38">
          <cell r="H38">
            <v>0</v>
          </cell>
        </row>
        <row r="43">
          <cell r="H43">
            <v>0</v>
          </cell>
        </row>
        <row r="44">
          <cell r="D44">
            <v>0</v>
          </cell>
        </row>
      </sheetData>
      <sheetData sheetId="7">
        <row r="10">
          <cell r="O10">
            <v>0</v>
          </cell>
          <cell r="X10">
            <v>0</v>
          </cell>
          <cell r="AC10">
            <v>0</v>
          </cell>
          <cell r="AI10" t="str">
            <v/>
          </cell>
          <cell r="AJ10">
            <v>0</v>
          </cell>
          <cell r="AK10">
            <v>0</v>
          </cell>
          <cell r="AL10">
            <v>0</v>
          </cell>
          <cell r="AM10">
            <v>0</v>
          </cell>
        </row>
        <row r="11">
          <cell r="O11">
            <v>0</v>
          </cell>
          <cell r="X11">
            <v>0</v>
          </cell>
          <cell r="AC11">
            <v>0</v>
          </cell>
          <cell r="AI11" t="str">
            <v/>
          </cell>
          <cell r="AJ11">
            <v>0</v>
          </cell>
          <cell r="AK11">
            <v>0</v>
          </cell>
          <cell r="AL11">
            <v>0</v>
          </cell>
          <cell r="AM11">
            <v>0</v>
          </cell>
        </row>
        <row r="12">
          <cell r="O12">
            <v>0</v>
          </cell>
          <cell r="X12">
            <v>0</v>
          </cell>
          <cell r="AC12">
            <v>0</v>
          </cell>
          <cell r="AI12" t="str">
            <v/>
          </cell>
          <cell r="AJ12">
            <v>0</v>
          </cell>
          <cell r="AK12">
            <v>0</v>
          </cell>
          <cell r="AL12">
            <v>0</v>
          </cell>
          <cell r="AM12">
            <v>0</v>
          </cell>
        </row>
        <row r="13">
          <cell r="O13">
            <v>0</v>
          </cell>
          <cell r="X13">
            <v>0</v>
          </cell>
          <cell r="AC13">
            <v>0</v>
          </cell>
          <cell r="AI13" t="str">
            <v/>
          </cell>
          <cell r="AJ13">
            <v>0</v>
          </cell>
          <cell r="AK13">
            <v>0</v>
          </cell>
          <cell r="AL13">
            <v>0</v>
          </cell>
          <cell r="AM13">
            <v>0</v>
          </cell>
        </row>
        <row r="14">
          <cell r="O14">
            <v>0</v>
          </cell>
          <cell r="X14">
            <v>0</v>
          </cell>
          <cell r="AC14">
            <v>0</v>
          </cell>
          <cell r="AI14" t="str">
            <v/>
          </cell>
          <cell r="AJ14">
            <v>0</v>
          </cell>
          <cell r="AK14">
            <v>0</v>
          </cell>
          <cell r="AL14">
            <v>0</v>
          </cell>
          <cell r="AM14">
            <v>0</v>
          </cell>
        </row>
        <row r="15">
          <cell r="O15">
            <v>0</v>
          </cell>
          <cell r="X15">
            <v>0</v>
          </cell>
          <cell r="AC15">
            <v>0</v>
          </cell>
          <cell r="AI15" t="str">
            <v/>
          </cell>
          <cell r="AJ15">
            <v>0</v>
          </cell>
          <cell r="AK15">
            <v>0</v>
          </cell>
          <cell r="AL15">
            <v>0</v>
          </cell>
          <cell r="AM15">
            <v>0</v>
          </cell>
        </row>
        <row r="16">
          <cell r="O16">
            <v>0</v>
          </cell>
          <cell r="X16">
            <v>0</v>
          </cell>
          <cell r="AC16">
            <v>0</v>
          </cell>
          <cell r="AI16" t="str">
            <v/>
          </cell>
          <cell r="AJ16">
            <v>0</v>
          </cell>
          <cell r="AK16">
            <v>0</v>
          </cell>
          <cell r="AL16">
            <v>0</v>
          </cell>
          <cell r="AM16">
            <v>0</v>
          </cell>
        </row>
        <row r="17">
          <cell r="O17">
            <v>0</v>
          </cell>
          <cell r="X17">
            <v>0</v>
          </cell>
          <cell r="AC17">
            <v>0</v>
          </cell>
          <cell r="AI17" t="str">
            <v/>
          </cell>
          <cell r="AJ17">
            <v>0</v>
          </cell>
          <cell r="AK17">
            <v>0</v>
          </cell>
          <cell r="AL17">
            <v>0</v>
          </cell>
          <cell r="AM17">
            <v>0</v>
          </cell>
        </row>
        <row r="18">
          <cell r="O18">
            <v>0</v>
          </cell>
          <cell r="X18">
            <v>0</v>
          </cell>
          <cell r="AC18">
            <v>0</v>
          </cell>
          <cell r="AI18" t="str">
            <v/>
          </cell>
          <cell r="AJ18">
            <v>0</v>
          </cell>
          <cell r="AK18">
            <v>0</v>
          </cell>
          <cell r="AL18">
            <v>0</v>
          </cell>
          <cell r="AM18">
            <v>0</v>
          </cell>
        </row>
        <row r="19">
          <cell r="O19">
            <v>0</v>
          </cell>
          <cell r="X19">
            <v>0</v>
          </cell>
          <cell r="AC19">
            <v>0</v>
          </cell>
          <cell r="AI19" t="str">
            <v/>
          </cell>
          <cell r="AJ19">
            <v>0</v>
          </cell>
          <cell r="AK19">
            <v>0</v>
          </cell>
          <cell r="AL19">
            <v>0</v>
          </cell>
          <cell r="AM19">
            <v>0</v>
          </cell>
        </row>
        <row r="20">
          <cell r="O20">
            <v>0</v>
          </cell>
          <cell r="X20">
            <v>0</v>
          </cell>
          <cell r="AC20">
            <v>0</v>
          </cell>
          <cell r="AI20" t="str">
            <v/>
          </cell>
          <cell r="AJ20">
            <v>0</v>
          </cell>
          <cell r="AK20">
            <v>0</v>
          </cell>
          <cell r="AL20">
            <v>0</v>
          </cell>
          <cell r="AM20">
            <v>0</v>
          </cell>
        </row>
      </sheetData>
      <sheetData sheetId="8">
        <row r="10">
          <cell r="O10">
            <v>0</v>
          </cell>
          <cell r="X10">
            <v>0</v>
          </cell>
          <cell r="AB10">
            <v>0</v>
          </cell>
          <cell r="AI10">
            <v>0</v>
          </cell>
          <cell r="AL10">
            <v>0</v>
          </cell>
          <cell r="AM10">
            <v>0</v>
          </cell>
        </row>
        <row r="11">
          <cell r="O11">
            <v>0</v>
          </cell>
          <cell r="X11">
            <v>0</v>
          </cell>
          <cell r="AB11">
            <v>0</v>
          </cell>
          <cell r="AI11">
            <v>0</v>
          </cell>
          <cell r="AL11">
            <v>0</v>
          </cell>
          <cell r="AM11">
            <v>0</v>
          </cell>
        </row>
        <row r="12">
          <cell r="O12">
            <v>0</v>
          </cell>
          <cell r="X12">
            <v>0</v>
          </cell>
          <cell r="AB12">
            <v>0</v>
          </cell>
          <cell r="AI12">
            <v>0</v>
          </cell>
          <cell r="AL12">
            <v>0</v>
          </cell>
          <cell r="AM12">
            <v>0</v>
          </cell>
        </row>
        <row r="13">
          <cell r="O13">
            <v>0</v>
          </cell>
          <cell r="X13">
            <v>0</v>
          </cell>
          <cell r="AB13">
            <v>0</v>
          </cell>
          <cell r="AI13">
            <v>0</v>
          </cell>
          <cell r="AL13">
            <v>0</v>
          </cell>
          <cell r="AM13">
            <v>0</v>
          </cell>
        </row>
        <row r="14">
          <cell r="O14">
            <v>0</v>
          </cell>
          <cell r="X14">
            <v>0</v>
          </cell>
          <cell r="AB14">
            <v>0</v>
          </cell>
          <cell r="AI14">
            <v>0</v>
          </cell>
          <cell r="AL14">
            <v>0</v>
          </cell>
          <cell r="AM14">
            <v>0</v>
          </cell>
        </row>
        <row r="15">
          <cell r="O15">
            <v>0</v>
          </cell>
          <cell r="X15">
            <v>0</v>
          </cell>
          <cell r="AB15">
            <v>0</v>
          </cell>
          <cell r="AI15">
            <v>0</v>
          </cell>
          <cell r="AL15">
            <v>0</v>
          </cell>
          <cell r="AM15">
            <v>0</v>
          </cell>
        </row>
        <row r="16">
          <cell r="O16">
            <v>0</v>
          </cell>
          <cell r="X16">
            <v>0</v>
          </cell>
          <cell r="AB16">
            <v>0</v>
          </cell>
          <cell r="AI16">
            <v>0</v>
          </cell>
          <cell r="AL16">
            <v>0</v>
          </cell>
          <cell r="AM16">
            <v>0</v>
          </cell>
        </row>
        <row r="17">
          <cell r="O17">
            <v>0</v>
          </cell>
          <cell r="X17">
            <v>0</v>
          </cell>
          <cell r="AB17">
            <v>0</v>
          </cell>
          <cell r="AI17">
            <v>0</v>
          </cell>
          <cell r="AL17">
            <v>0</v>
          </cell>
          <cell r="AM17">
            <v>0</v>
          </cell>
        </row>
        <row r="18">
          <cell r="O18">
            <v>0</v>
          </cell>
          <cell r="X18">
            <v>0</v>
          </cell>
          <cell r="AB18">
            <v>0</v>
          </cell>
          <cell r="AI18">
            <v>0</v>
          </cell>
          <cell r="AL18">
            <v>0</v>
          </cell>
          <cell r="AM18">
            <v>0</v>
          </cell>
        </row>
        <row r="19">
          <cell r="O19">
            <v>0</v>
          </cell>
          <cell r="X19">
            <v>0</v>
          </cell>
          <cell r="AB19">
            <v>0</v>
          </cell>
          <cell r="AI19">
            <v>0</v>
          </cell>
          <cell r="AL19">
            <v>0</v>
          </cell>
          <cell r="AM19">
            <v>0</v>
          </cell>
        </row>
        <row r="20">
          <cell r="O20">
            <v>0</v>
          </cell>
          <cell r="X20">
            <v>0</v>
          </cell>
          <cell r="AB20">
            <v>0</v>
          </cell>
          <cell r="AI20">
            <v>0</v>
          </cell>
          <cell r="AL20">
            <v>0</v>
          </cell>
          <cell r="AM20">
            <v>0</v>
          </cell>
        </row>
      </sheetData>
      <sheetData sheetId="9">
        <row r="4">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row>
        <row r="5">
          <cell r="G5">
            <v>0</v>
          </cell>
          <cell r="H5">
            <v>0</v>
          </cell>
          <cell r="I5">
            <v>0</v>
          </cell>
          <cell r="J5">
            <v>0</v>
          </cell>
          <cell r="K5">
            <v>0</v>
          </cell>
          <cell r="L5">
            <v>0</v>
          </cell>
          <cell r="M5">
            <v>0</v>
          </cell>
        </row>
        <row r="6">
          <cell r="G6">
            <v>0</v>
          </cell>
          <cell r="H6">
            <v>0</v>
          </cell>
          <cell r="I6">
            <v>0</v>
          </cell>
          <cell r="J6">
            <v>0</v>
          </cell>
          <cell r="K6">
            <v>0</v>
          </cell>
          <cell r="L6">
            <v>0</v>
          </cell>
          <cell r="M6">
            <v>0</v>
          </cell>
        </row>
        <row r="7">
          <cell r="N7">
            <v>0</v>
          </cell>
          <cell r="O7">
            <v>0</v>
          </cell>
          <cell r="P7">
            <v>0</v>
          </cell>
          <cell r="Q7">
            <v>0</v>
          </cell>
          <cell r="R7">
            <v>0</v>
          </cell>
          <cell r="S7">
            <v>0</v>
          </cell>
          <cell r="T7">
            <v>0</v>
          </cell>
          <cell r="U7">
            <v>0</v>
          </cell>
          <cell r="V7">
            <v>0</v>
          </cell>
          <cell r="W7">
            <v>0</v>
          </cell>
        </row>
        <row r="15">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row>
        <row r="16">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row>
        <row r="17">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row>
        <row r="18">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row>
        <row r="20">
          <cell r="AH20">
            <v>0</v>
          </cell>
          <cell r="AI20">
            <v>0</v>
          </cell>
          <cell r="AJ20">
            <v>0</v>
          </cell>
          <cell r="AK20">
            <v>0</v>
          </cell>
          <cell r="AL20">
            <v>0</v>
          </cell>
          <cell r="AM20">
            <v>0</v>
          </cell>
          <cell r="AN20">
            <v>0</v>
          </cell>
        </row>
        <row r="21">
          <cell r="AH21">
            <v>0</v>
          </cell>
          <cell r="AI21">
            <v>0</v>
          </cell>
          <cell r="AJ21">
            <v>0</v>
          </cell>
          <cell r="AK21">
            <v>0</v>
          </cell>
          <cell r="AL21">
            <v>0</v>
          </cell>
          <cell r="AM21">
            <v>0</v>
          </cell>
          <cell r="AN21">
            <v>0</v>
          </cell>
        </row>
      </sheetData>
      <sheetData sheetId="10">
        <row r="4">
          <cell r="H4" t="str">
            <v>租税公課</v>
          </cell>
        </row>
        <row r="5">
          <cell r="H5" t="str">
            <v>種苗費</v>
          </cell>
        </row>
        <row r="10">
          <cell r="H10" t="str">
            <v>肥料費</v>
          </cell>
        </row>
        <row r="11">
          <cell r="H11" t="str">
            <v>飼料費</v>
          </cell>
        </row>
        <row r="12">
          <cell r="H12" t="str">
            <v>農具費</v>
          </cell>
        </row>
        <row r="13">
          <cell r="H13" t="str">
            <v>農薬費・衛生費</v>
          </cell>
        </row>
        <row r="14">
          <cell r="H14" t="str">
            <v>諸材料費</v>
          </cell>
        </row>
        <row r="15">
          <cell r="H15" t="str">
            <v>修繕費</v>
          </cell>
        </row>
        <row r="16">
          <cell r="H16" t="str">
            <v>動力光熱費</v>
          </cell>
        </row>
        <row r="17">
          <cell r="H17" t="str">
            <v>作業用衣料費</v>
          </cell>
        </row>
        <row r="18">
          <cell r="H18" t="str">
            <v>農業共済掛金</v>
          </cell>
        </row>
        <row r="19">
          <cell r="H19" t="str">
            <v>荷造り運賃手数料</v>
          </cell>
        </row>
        <row r="20">
          <cell r="H20" t="str">
            <v>雇人費</v>
          </cell>
        </row>
        <row r="21">
          <cell r="H21" t="str">
            <v>地代・賃借料</v>
          </cell>
        </row>
        <row r="22">
          <cell r="H22" t="str">
            <v>土地改良費</v>
          </cell>
        </row>
        <row r="23">
          <cell r="H23" t="str">
            <v>授精料</v>
          </cell>
        </row>
        <row r="24">
          <cell r="H24" t="str">
            <v>登録費</v>
          </cell>
        </row>
        <row r="25">
          <cell r="H25" t="str">
            <v>通信費</v>
          </cell>
        </row>
        <row r="26">
          <cell r="H26" t="str">
            <v>販売費</v>
          </cell>
        </row>
        <row r="27">
          <cell r="H27" t="str">
            <v>研修＋旅費交通費</v>
          </cell>
        </row>
        <row r="28">
          <cell r="H28" t="str">
            <v>雑費</v>
          </cell>
        </row>
        <row r="29">
          <cell r="H29" t="str">
            <v>青色専従者給与</v>
          </cell>
        </row>
        <row r="30">
          <cell r="H30" t="str">
            <v>支払利息及び割引料</v>
          </cell>
        </row>
        <row r="31">
          <cell r="H31" t="str">
            <v>機械・施設圧縮損</v>
          </cell>
        </row>
      </sheetData>
      <sheetData sheetId="13">
        <row r="15">
          <cell r="E15">
            <v>0</v>
          </cell>
          <cell r="F15">
            <v>0</v>
          </cell>
        </row>
        <row r="26">
          <cell r="E26">
            <v>0</v>
          </cell>
          <cell r="F26">
            <v>0</v>
          </cell>
        </row>
        <row r="33">
          <cell r="F33">
            <v>0</v>
          </cell>
        </row>
        <row r="37">
          <cell r="F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2">
    <tabColor indexed="50"/>
  </sheetPr>
  <dimension ref="A1:K25"/>
  <sheetViews>
    <sheetView tabSelected="1" zoomScale="91" zoomScaleNormal="91" zoomScalePageLayoutView="0" workbookViewId="0" topLeftCell="A1">
      <selection activeCell="A1" sqref="A1"/>
    </sheetView>
  </sheetViews>
  <sheetFormatPr defaultColWidth="10.00390625" defaultRowHeight="13.5"/>
  <cols>
    <col min="1" max="1" width="1.37890625" style="4" customWidth="1"/>
    <col min="2" max="2" width="14.125" style="4" customWidth="1"/>
    <col min="3" max="3" width="25.75390625" style="4" customWidth="1"/>
    <col min="4" max="4" width="6.50390625" style="4" customWidth="1"/>
    <col min="5" max="5" width="58.50390625" style="4" customWidth="1"/>
    <col min="6" max="6" width="23.75390625" style="4" customWidth="1"/>
    <col min="7" max="7" width="3.125" style="4" customWidth="1"/>
    <col min="8" max="8" width="19.75390625" style="4" hidden="1" customWidth="1"/>
    <col min="9" max="9" width="20.125" style="4" hidden="1" customWidth="1"/>
    <col min="10" max="10" width="14.625" style="4" customWidth="1"/>
    <col min="11" max="16384" width="10.00390625" style="4" customWidth="1"/>
  </cols>
  <sheetData>
    <row r="1" spans="1:11" ht="68.25" customHeight="1" thickBot="1">
      <c r="A1" s="1"/>
      <c r="B1" s="454"/>
      <c r="C1" s="454"/>
      <c r="D1" s="454"/>
      <c r="E1" s="454"/>
      <c r="F1" s="454"/>
      <c r="G1" s="1"/>
      <c r="H1" s="314" t="s">
        <v>557</v>
      </c>
      <c r="I1" s="314" t="s">
        <v>558</v>
      </c>
      <c r="K1" s="312"/>
    </row>
    <row r="2" spans="1:9" ht="12" customHeight="1" thickBot="1">
      <c r="A2" s="1"/>
      <c r="B2" s="5"/>
      <c r="C2" s="6"/>
      <c r="D2" s="1"/>
      <c r="E2" s="7"/>
      <c r="F2" s="7"/>
      <c r="G2" s="1"/>
      <c r="H2" s="314" t="str">
        <f>IF(RIGHT(H3,3)="xls","xls",IF(RIGHT(H3,4)="xlsm","xlsm",""))</f>
        <v>xls</v>
      </c>
      <c r="I2" s="314" t="str">
        <f>IF(RIGHT(I3,3)="xls","xls",IF(RIGHT(I3,4)="xlsm","xlsm",""))</f>
        <v>xls</v>
      </c>
    </row>
    <row r="3" spans="1:9" ht="45.75" customHeight="1" thickBot="1">
      <c r="A3" s="1"/>
      <c r="B3" s="8" t="s">
        <v>54</v>
      </c>
      <c r="C3" s="9"/>
      <c r="D3" s="10" t="s">
        <v>55</v>
      </c>
      <c r="E3" s="472" t="s">
        <v>56</v>
      </c>
      <c r="F3" s="473"/>
      <c r="G3" s="1"/>
      <c r="H3" s="315" t="str">
        <f>CLEAN(H1)</f>
        <v>個人簿記150210.xls</v>
      </c>
      <c r="I3" s="315" t="str">
        <f>CLEAN(I1)</f>
        <v>個人簿記150210.xls</v>
      </c>
    </row>
    <row r="4" spans="1:8" ht="7.5" customHeight="1" thickBot="1">
      <c r="A4" s="1"/>
      <c r="B4" s="11"/>
      <c r="C4" s="12"/>
      <c r="D4" s="12"/>
      <c r="E4" s="1"/>
      <c r="F4" s="13"/>
      <c r="G4" s="3"/>
      <c r="H4" s="1"/>
    </row>
    <row r="5" spans="1:8" ht="35.25" customHeight="1" thickBot="1">
      <c r="A5" s="14"/>
      <c r="B5" s="15" t="s">
        <v>57</v>
      </c>
      <c r="C5" s="16"/>
      <c r="D5" s="10"/>
      <c r="E5" s="457" t="s">
        <v>58</v>
      </c>
      <c r="F5" s="458"/>
      <c r="G5" s="14"/>
      <c r="H5" s="17" t="str">
        <f ca="1">MID(CELL("filename",A1),FIND("[",CELL("filename",A1))+1,FIND("]",CELL("filename",A1))-FIND("[",CELL("filename",A1))-1)</f>
        <v>個人簿記消費税.xls</v>
      </c>
    </row>
    <row r="6" spans="1:8" ht="12" customHeight="1">
      <c r="A6" s="3"/>
      <c r="B6" s="454"/>
      <c r="C6" s="454"/>
      <c r="D6" s="10"/>
      <c r="E6" s="18"/>
      <c r="F6" s="18"/>
      <c r="G6" s="1"/>
      <c r="H6" s="3"/>
    </row>
    <row r="7" spans="1:8" ht="6" customHeight="1" thickBot="1">
      <c r="A7" s="3"/>
      <c r="B7" s="1"/>
      <c r="C7" s="1"/>
      <c r="D7" s="10"/>
      <c r="E7" s="19"/>
      <c r="F7" s="19"/>
      <c r="G7" s="1"/>
      <c r="H7" s="3"/>
    </row>
    <row r="8" spans="1:8" ht="24" customHeight="1" thickBot="1">
      <c r="A8" s="311"/>
      <c r="B8" s="467" t="s">
        <v>59</v>
      </c>
      <c r="C8" s="20"/>
      <c r="D8" s="10" t="s">
        <v>60</v>
      </c>
      <c r="E8" s="455" t="s">
        <v>61</v>
      </c>
      <c r="F8" s="456"/>
      <c r="G8" s="1"/>
      <c r="H8" s="3"/>
    </row>
    <row r="9" spans="1:8" ht="6.75" customHeight="1" thickBot="1">
      <c r="A9" s="1"/>
      <c r="B9" s="468"/>
      <c r="C9" s="21"/>
      <c r="D9" s="10"/>
      <c r="E9" s="22"/>
      <c r="F9" s="2"/>
      <c r="G9" s="1"/>
      <c r="H9" s="3"/>
    </row>
    <row r="10" spans="1:8" ht="81.75" customHeight="1" thickBot="1">
      <c r="A10" s="1"/>
      <c r="B10" s="469"/>
      <c r="C10" s="23">
        <f>IF(OR(C8=0,C8=""),"",VLOOKUP(C8,'最初'!$B$16:$E$18,2,0))</f>
      </c>
      <c r="D10" s="24">
        <f>IF(OR(C8=0,C8=""),"",VLOOKUP(C8,'最初'!$B$16:$E$18,3,0))</f>
      </c>
      <c r="E10" s="470">
        <f>IF(OR(C8=0,C8=""),"",VLOOKUP(C8,'最初'!$B$16:$E$18,4,0))</f>
      </c>
      <c r="F10" s="471"/>
      <c r="G10" s="1"/>
      <c r="H10" s="3"/>
    </row>
    <row r="11" spans="1:8" ht="5.25" customHeight="1">
      <c r="A11" s="3"/>
      <c r="B11" s="1"/>
      <c r="C11" s="3"/>
      <c r="D11" s="1"/>
      <c r="E11" s="1"/>
      <c r="F11" s="1"/>
      <c r="G11" s="3"/>
      <c r="H11" s="3"/>
    </row>
    <row r="12" spans="1:8" ht="19.5" customHeight="1">
      <c r="A12" s="3"/>
      <c r="B12" s="1"/>
      <c r="C12" s="474" t="s">
        <v>62</v>
      </c>
      <c r="D12" s="25">
        <v>1</v>
      </c>
      <c r="E12" s="26" t="s">
        <v>63</v>
      </c>
      <c r="F12" s="1"/>
      <c r="G12" s="3"/>
      <c r="H12" s="3"/>
    </row>
    <row r="13" spans="1:8" ht="19.5" customHeight="1">
      <c r="A13" s="3"/>
      <c r="B13" s="1"/>
      <c r="C13" s="475"/>
      <c r="D13" s="25">
        <v>2</v>
      </c>
      <c r="E13" s="27" t="s">
        <v>64</v>
      </c>
      <c r="F13" s="1"/>
      <c r="G13" s="3"/>
      <c r="H13" s="3"/>
    </row>
    <row r="14" spans="1:8" ht="19.5" customHeight="1">
      <c r="A14" s="3"/>
      <c r="B14" s="1"/>
      <c r="C14" s="475"/>
      <c r="D14" s="25">
        <v>3</v>
      </c>
      <c r="E14" s="27" t="s">
        <v>65</v>
      </c>
      <c r="F14" s="1"/>
      <c r="G14" s="3"/>
      <c r="H14" s="3"/>
    </row>
    <row r="15" spans="1:8" ht="9" customHeight="1">
      <c r="A15" s="3"/>
      <c r="B15" s="1"/>
      <c r="C15" s="1"/>
      <c r="D15" s="1"/>
      <c r="E15" s="1"/>
      <c r="F15" s="3"/>
      <c r="G15" s="3"/>
      <c r="H15" s="313"/>
    </row>
    <row r="16" spans="1:8" ht="15" hidden="1">
      <c r="A16" s="28"/>
      <c r="B16" s="29">
        <v>1</v>
      </c>
      <c r="C16" s="30" t="s">
        <v>63</v>
      </c>
      <c r="D16" s="26"/>
      <c r="E16" s="26"/>
      <c r="F16" s="3"/>
      <c r="G16" s="3"/>
      <c r="H16" s="3"/>
    </row>
    <row r="17" spans="1:8" ht="72" hidden="1">
      <c r="A17" s="3"/>
      <c r="B17" s="29">
        <v>2</v>
      </c>
      <c r="C17" s="31" t="s">
        <v>66</v>
      </c>
      <c r="D17" s="32" t="s">
        <v>67</v>
      </c>
      <c r="E17" s="33" t="s">
        <v>68</v>
      </c>
      <c r="F17" s="1"/>
      <c r="G17" s="3"/>
      <c r="H17" s="3"/>
    </row>
    <row r="18" spans="1:8" ht="71.25" hidden="1">
      <c r="A18" s="3"/>
      <c r="B18" s="29">
        <v>3</v>
      </c>
      <c r="C18" s="31" t="s">
        <v>69</v>
      </c>
      <c r="D18" s="32" t="s">
        <v>70</v>
      </c>
      <c r="E18" s="34" t="s">
        <v>71</v>
      </c>
      <c r="F18" s="1"/>
      <c r="G18" s="3"/>
      <c r="H18" s="3"/>
    </row>
    <row r="19" spans="1:8" ht="6.75" customHeight="1" thickBot="1">
      <c r="A19" s="3"/>
      <c r="B19" s="1"/>
      <c r="C19" s="1"/>
      <c r="D19" s="1"/>
      <c r="E19" s="1"/>
      <c r="F19" s="1"/>
      <c r="G19" s="3"/>
      <c r="H19" s="3"/>
    </row>
    <row r="20" spans="1:8" ht="81" customHeight="1" thickBot="1">
      <c r="A20" s="1"/>
      <c r="B20" s="35" t="s">
        <v>72</v>
      </c>
      <c r="C20" s="9"/>
      <c r="D20" s="1"/>
      <c r="E20" s="459" t="s">
        <v>73</v>
      </c>
      <c r="F20" s="460"/>
      <c r="G20" s="1"/>
      <c r="H20" s="3"/>
    </row>
    <row r="21" spans="1:8" ht="15.75" thickBot="1">
      <c r="A21" s="3"/>
      <c r="B21" s="1"/>
      <c r="C21" s="1"/>
      <c r="D21" s="1"/>
      <c r="E21" s="1"/>
      <c r="F21" s="1"/>
      <c r="G21" s="3"/>
      <c r="H21" s="3"/>
    </row>
    <row r="22" spans="1:8" ht="15">
      <c r="A22" s="1"/>
      <c r="B22" s="461" t="s">
        <v>74</v>
      </c>
      <c r="C22" s="462"/>
      <c r="D22" s="462"/>
      <c r="E22" s="462"/>
      <c r="F22" s="463"/>
      <c r="G22" s="1"/>
      <c r="H22" s="3"/>
    </row>
    <row r="23" spans="1:8" ht="15.75" thickBot="1">
      <c r="A23" s="1"/>
      <c r="B23" s="464"/>
      <c r="C23" s="465"/>
      <c r="D23" s="465"/>
      <c r="E23" s="465"/>
      <c r="F23" s="466"/>
      <c r="G23" s="1"/>
      <c r="H23" s="310"/>
    </row>
    <row r="24" spans="1:8" ht="15">
      <c r="A24" s="3"/>
      <c r="B24" s="1"/>
      <c r="C24" s="1"/>
      <c r="D24" s="1"/>
      <c r="E24" s="1"/>
      <c r="F24" s="1"/>
      <c r="G24" s="3"/>
      <c r="H24" s="3"/>
    </row>
    <row r="25" spans="1:8" ht="15">
      <c r="A25" s="3"/>
      <c r="B25" s="3"/>
      <c r="C25" s="3"/>
      <c r="D25" s="3"/>
      <c r="E25" s="3"/>
      <c r="F25" s="3"/>
      <c r="G25" s="3"/>
      <c r="H25" s="3"/>
    </row>
    <row r="26" ht="15"/>
    <row r="27" ht="15"/>
    <row r="28" ht="15"/>
    <row r="29" ht="15"/>
    <row r="30" ht="15"/>
    <row r="31" ht="15"/>
    <row r="32" ht="15"/>
  </sheetData>
  <sheetProtection/>
  <mergeCells count="10">
    <mergeCell ref="B1:F1"/>
    <mergeCell ref="E8:F8"/>
    <mergeCell ref="E5:F5"/>
    <mergeCell ref="E20:F20"/>
    <mergeCell ref="B22:F23"/>
    <mergeCell ref="B8:B10"/>
    <mergeCell ref="E10:F10"/>
    <mergeCell ref="E3:F3"/>
    <mergeCell ref="C12:C14"/>
    <mergeCell ref="B6:C6"/>
  </mergeCells>
  <dataValidations count="1">
    <dataValidation allowBlank="1" showInputMessage="1" showErrorMessage="1" imeMode="off" sqref="C8:C9 C2:C4"/>
  </dataValidations>
  <printOptions/>
  <pageMargins left="0.75" right="0.75" top="1" bottom="1" header="0.512" footer="0.512"/>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35">
    <tabColor indexed="50"/>
  </sheetPr>
  <dimension ref="B2:J17"/>
  <sheetViews>
    <sheetView showGridLines="0" showZeros="0" zoomScale="75" zoomScaleNormal="75" zoomScalePageLayoutView="0" workbookViewId="0" topLeftCell="A1">
      <selection activeCell="B3" sqref="B3:I3"/>
    </sheetView>
  </sheetViews>
  <sheetFormatPr defaultColWidth="10.00390625" defaultRowHeight="13.5"/>
  <cols>
    <col min="1" max="1" width="10.00390625" style="157" customWidth="1"/>
    <col min="2" max="2" width="6.625" style="157" customWidth="1"/>
    <col min="3" max="3" width="18.50390625" style="157" customWidth="1"/>
    <col min="4" max="4" width="6.625" style="157" customWidth="1"/>
    <col min="5" max="5" width="24.375" style="157" customWidth="1"/>
    <col min="6" max="6" width="5.375" style="157" customWidth="1"/>
    <col min="7" max="7" width="20.00390625" style="157" customWidth="1"/>
    <col min="8" max="8" width="7.375" style="157" customWidth="1"/>
    <col min="9" max="9" width="18.125" style="157" customWidth="1"/>
    <col min="10" max="16384" width="10.00390625" style="157" customWidth="1"/>
  </cols>
  <sheetData>
    <row r="1" ht="33.75" customHeight="1"/>
    <row r="2" spans="3:10" ht="21">
      <c r="C2" s="802" t="s">
        <v>244</v>
      </c>
      <c r="D2" s="802"/>
      <c r="E2" s="802"/>
      <c r="F2" s="802"/>
      <c r="G2" s="802"/>
      <c r="H2" s="802"/>
      <c r="I2" s="212"/>
      <c r="J2" s="212"/>
    </row>
    <row r="3" ht="15.75" thickBot="1"/>
    <row r="4" spans="2:9" ht="34.5" customHeight="1" thickBot="1">
      <c r="B4" s="803" t="s">
        <v>4</v>
      </c>
      <c r="C4" s="804"/>
      <c r="D4" s="804"/>
      <c r="E4" s="213" t="s">
        <v>77</v>
      </c>
      <c r="F4" s="805" t="s">
        <v>5</v>
      </c>
      <c r="G4" s="806"/>
      <c r="H4" s="807"/>
      <c r="I4" s="214" t="s">
        <v>77</v>
      </c>
    </row>
    <row r="5" spans="2:10" ht="34.5" customHeight="1" thickBot="1">
      <c r="B5" s="808" t="s">
        <v>6</v>
      </c>
      <c r="C5" s="215" t="s">
        <v>7</v>
      </c>
      <c r="D5" s="182">
        <v>1</v>
      </c>
      <c r="E5" s="216"/>
      <c r="F5" s="812" t="s">
        <v>8</v>
      </c>
      <c r="G5" s="217"/>
      <c r="H5" s="218">
        <v>13</v>
      </c>
      <c r="I5" s="216"/>
      <c r="J5" s="154"/>
    </row>
    <row r="6" spans="2:10" ht="34.5" customHeight="1" thickBot="1">
      <c r="B6" s="809"/>
      <c r="C6" s="219" t="s">
        <v>9</v>
      </c>
      <c r="D6" s="182">
        <v>2</v>
      </c>
      <c r="E6" s="216"/>
      <c r="F6" s="813"/>
      <c r="G6" s="217"/>
      <c r="H6" s="218">
        <v>14</v>
      </c>
      <c r="I6" s="216"/>
      <c r="J6" s="154"/>
    </row>
    <row r="7" spans="2:10" ht="34.5" customHeight="1" thickBot="1">
      <c r="B7" s="810"/>
      <c r="C7" s="217"/>
      <c r="D7" s="220">
        <v>3</v>
      </c>
      <c r="E7" s="216"/>
      <c r="F7" s="813"/>
      <c r="G7" s="217"/>
      <c r="H7" s="218">
        <v>15</v>
      </c>
      <c r="I7" s="216"/>
      <c r="J7" s="154"/>
    </row>
    <row r="8" spans="2:10" ht="34.5" customHeight="1" thickBot="1">
      <c r="B8" s="811"/>
      <c r="C8" s="221" t="s">
        <v>10</v>
      </c>
      <c r="D8" s="222">
        <v>4</v>
      </c>
      <c r="E8" s="223">
        <f>SUM('決算書不動産'!E5:E7)</f>
        <v>0</v>
      </c>
      <c r="F8" s="814"/>
      <c r="G8" s="217"/>
      <c r="H8" s="218">
        <v>16</v>
      </c>
      <c r="I8" s="216"/>
      <c r="J8" s="154"/>
    </row>
    <row r="9" spans="2:10" ht="34.5" customHeight="1" thickBot="1" thickTop="1">
      <c r="B9" s="817" t="s">
        <v>11</v>
      </c>
      <c r="C9" s="224" t="s">
        <v>12</v>
      </c>
      <c r="D9" s="225">
        <v>5</v>
      </c>
      <c r="E9" s="216"/>
      <c r="F9" s="815"/>
      <c r="G9" s="224" t="s">
        <v>13</v>
      </c>
      <c r="H9" s="195">
        <v>17</v>
      </c>
      <c r="I9" s="216"/>
      <c r="J9" s="154"/>
    </row>
    <row r="10" spans="2:9" ht="34.5" customHeight="1" thickBot="1">
      <c r="B10" s="818"/>
      <c r="C10" s="226" t="s">
        <v>14</v>
      </c>
      <c r="D10" s="182">
        <v>6</v>
      </c>
      <c r="E10" s="216"/>
      <c r="F10" s="816"/>
      <c r="G10" s="227" t="s">
        <v>15</v>
      </c>
      <c r="H10" s="181">
        <v>18</v>
      </c>
      <c r="I10" s="228">
        <f>SUM(E9:E16,I5:I9)</f>
        <v>0</v>
      </c>
    </row>
    <row r="11" spans="2:9" ht="34.5" customHeight="1" thickBot="1" thickTop="1">
      <c r="B11" s="818"/>
      <c r="C11" s="226" t="s">
        <v>16</v>
      </c>
      <c r="D11" s="182">
        <v>7</v>
      </c>
      <c r="E11" s="216"/>
      <c r="F11" s="795" t="s">
        <v>17</v>
      </c>
      <c r="G11" s="796"/>
      <c r="H11" s="181">
        <v>19</v>
      </c>
      <c r="I11" s="229">
        <f>E8-I10</f>
        <v>0</v>
      </c>
    </row>
    <row r="12" spans="2:9" ht="34.5" customHeight="1" thickBot="1" thickTop="1">
      <c r="B12" s="818"/>
      <c r="C12" s="230" t="s">
        <v>50</v>
      </c>
      <c r="D12" s="182">
        <v>8</v>
      </c>
      <c r="E12" s="216"/>
      <c r="F12" s="795" t="s">
        <v>18</v>
      </c>
      <c r="G12" s="795"/>
      <c r="H12" s="181">
        <v>20</v>
      </c>
      <c r="I12" s="231"/>
    </row>
    <row r="13" spans="2:9" ht="34.5" customHeight="1" thickBot="1" thickTop="1">
      <c r="B13" s="818"/>
      <c r="C13" s="226" t="s">
        <v>19</v>
      </c>
      <c r="D13" s="182">
        <v>9</v>
      </c>
      <c r="E13" s="216"/>
      <c r="F13" s="797" t="s">
        <v>20</v>
      </c>
      <c r="G13" s="798"/>
      <c r="H13" s="181">
        <v>21</v>
      </c>
      <c r="I13" s="231"/>
    </row>
    <row r="14" spans="2:9" ht="34.5" customHeight="1" thickBot="1" thickTop="1">
      <c r="B14" s="818"/>
      <c r="C14" s="226" t="s">
        <v>21</v>
      </c>
      <c r="D14" s="182">
        <v>10</v>
      </c>
      <c r="E14" s="216"/>
      <c r="F14" s="795" t="s">
        <v>22</v>
      </c>
      <c r="G14" s="795"/>
      <c r="H14" s="232">
        <v>22</v>
      </c>
      <c r="I14" s="233"/>
    </row>
    <row r="15" spans="2:9" ht="34.5" customHeight="1" thickBot="1" thickTop="1">
      <c r="B15" s="818"/>
      <c r="C15" s="215" t="s">
        <v>23</v>
      </c>
      <c r="D15" s="182">
        <v>11</v>
      </c>
      <c r="E15" s="216"/>
      <c r="F15" s="799" t="s">
        <v>24</v>
      </c>
      <c r="G15" s="799"/>
      <c r="H15" s="234">
        <v>23</v>
      </c>
      <c r="I15" s="235"/>
    </row>
    <row r="16" spans="2:9" ht="34.5" customHeight="1" thickBot="1">
      <c r="B16" s="819"/>
      <c r="C16" s="217"/>
      <c r="D16" s="236">
        <v>12</v>
      </c>
      <c r="E16" s="216"/>
      <c r="F16" s="800" t="s">
        <v>25</v>
      </c>
      <c r="G16" s="800"/>
      <c r="H16" s="801"/>
      <c r="I16" s="237"/>
    </row>
    <row r="17" spans="3:5" ht="15">
      <c r="C17" s="154"/>
      <c r="E17" s="154"/>
    </row>
  </sheetData>
  <sheetProtection/>
  <mergeCells count="12">
    <mergeCell ref="C2:H2"/>
    <mergeCell ref="B4:D4"/>
    <mergeCell ref="F4:H4"/>
    <mergeCell ref="B5:B8"/>
    <mergeCell ref="F5:F10"/>
    <mergeCell ref="B9:B16"/>
    <mergeCell ref="F11:G11"/>
    <mergeCell ref="F12:G12"/>
    <mergeCell ref="F13:G13"/>
    <mergeCell ref="F14:G14"/>
    <mergeCell ref="F15:G15"/>
    <mergeCell ref="F16:H16"/>
  </mergeCells>
  <dataValidations count="2">
    <dataValidation allowBlank="1" showInputMessage="1" showErrorMessage="1" imeMode="off" sqref="E5:E16 I5:I9"/>
    <dataValidation allowBlank="1" showInputMessage="1" showErrorMessage="1" imeMode="on" sqref="C7 C16 G5:G8"/>
  </dataValidations>
  <printOptions/>
  <pageMargins left="0.75" right="0.75" top="1" bottom="1" header="0.512" footer="0.512"/>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38">
    <tabColor indexed="50"/>
  </sheetPr>
  <dimension ref="A1:P31"/>
  <sheetViews>
    <sheetView showGridLines="0" showZeros="0" showOutlineSymbols="0" zoomScale="80" zoomScaleNormal="80" zoomScalePageLayoutView="0" workbookViewId="0" topLeftCell="A1">
      <selection activeCell="Q12" sqref="Q12"/>
    </sheetView>
  </sheetViews>
  <sheetFormatPr defaultColWidth="10.00390625" defaultRowHeight="13.5"/>
  <cols>
    <col min="1" max="1" width="1.25" style="238" customWidth="1"/>
    <col min="2" max="2" width="5.125" style="36" customWidth="1"/>
    <col min="3" max="3" width="19.00390625" style="36" customWidth="1"/>
    <col min="4" max="4" width="13.25390625" style="36" customWidth="1"/>
    <col min="5" max="6" width="13.25390625" style="36" hidden="1" customWidth="1"/>
    <col min="7" max="13" width="13.25390625" style="36" customWidth="1"/>
    <col min="14" max="14" width="1.25" style="36" customWidth="1"/>
    <col min="15" max="15" width="8.75390625" style="36" customWidth="1"/>
    <col min="16" max="16" width="12.00390625" style="36" customWidth="1"/>
    <col min="17" max="16384" width="10.00390625" style="238" customWidth="1"/>
  </cols>
  <sheetData>
    <row r="1" spans="1:7" ht="24.75" customHeight="1">
      <c r="A1" s="36"/>
      <c r="C1" s="827"/>
      <c r="D1" s="827"/>
      <c r="E1" s="827"/>
      <c r="F1" s="827"/>
      <c r="G1" s="827"/>
    </row>
    <row r="2" ht="7.5" customHeight="1" hidden="1">
      <c r="A2" s="36"/>
    </row>
    <row r="3" spans="1:11" ht="24.75" thickBot="1">
      <c r="A3" s="36"/>
      <c r="B3" s="822" t="s">
        <v>26</v>
      </c>
      <c r="C3" s="822"/>
      <c r="D3" s="822"/>
      <c r="E3" s="822"/>
      <c r="F3" s="822"/>
      <c r="G3" s="822"/>
      <c r="H3" s="822"/>
      <c r="I3" s="822"/>
      <c r="J3" s="42"/>
      <c r="K3" s="42"/>
    </row>
    <row r="4" spans="1:14" ht="34.5" customHeight="1" thickBot="1">
      <c r="A4" s="36"/>
      <c r="B4" s="486"/>
      <c r="C4" s="487" t="s">
        <v>76</v>
      </c>
      <c r="D4" s="489" t="s">
        <v>77</v>
      </c>
      <c r="E4" s="106"/>
      <c r="F4" s="45"/>
      <c r="G4" s="491" t="s">
        <v>80</v>
      </c>
      <c r="H4" s="492"/>
      <c r="I4" s="481" t="s">
        <v>81</v>
      </c>
      <c r="J4" s="823" t="s">
        <v>27</v>
      </c>
      <c r="K4" s="823"/>
      <c r="L4" s="823"/>
      <c r="M4" s="823"/>
      <c r="N4" s="824"/>
    </row>
    <row r="5" spans="1:14" ht="18" thickBot="1">
      <c r="A5" s="36"/>
      <c r="B5" s="486"/>
      <c r="C5" s="488"/>
      <c r="D5" s="490"/>
      <c r="E5" s="239"/>
      <c r="F5" s="47"/>
      <c r="G5" s="240" t="s">
        <v>83</v>
      </c>
      <c r="H5" s="108" t="s">
        <v>84</v>
      </c>
      <c r="I5" s="482"/>
      <c r="J5" s="241" t="s">
        <v>51</v>
      </c>
      <c r="K5" s="242" t="s">
        <v>51</v>
      </c>
      <c r="L5" s="242" t="s">
        <v>51</v>
      </c>
      <c r="M5" s="243" t="s">
        <v>52</v>
      </c>
      <c r="N5" s="109"/>
    </row>
    <row r="6" spans="1:14" ht="18" thickBot="1">
      <c r="A6" s="36"/>
      <c r="B6" s="483" t="s">
        <v>95</v>
      </c>
      <c r="C6" s="110" t="str">
        <f>'決算書不動産'!C5</f>
        <v>賃貸料</v>
      </c>
      <c r="D6" s="111">
        <f>'決算書不動産'!E5</f>
        <v>0</v>
      </c>
      <c r="E6" s="244"/>
      <c r="F6" s="245"/>
      <c r="G6" s="246">
        <f>SUM(J6:L6)</f>
        <v>0</v>
      </c>
      <c r="H6" s="112"/>
      <c r="I6" s="247">
        <f>D6-G6-H6</f>
        <v>0</v>
      </c>
      <c r="J6" s="55"/>
      <c r="K6" s="55"/>
      <c r="L6" s="55"/>
      <c r="M6" s="248"/>
      <c r="N6" s="249"/>
    </row>
    <row r="7" spans="1:14" ht="35.25" thickBot="1">
      <c r="A7" s="36"/>
      <c r="B7" s="484"/>
      <c r="C7" s="250" t="str">
        <f>'決算書不動産'!C6</f>
        <v>礼金・権利金
更新料</v>
      </c>
      <c r="D7" s="111">
        <f>'決算書不動産'!E6</f>
        <v>0</v>
      </c>
      <c r="E7" s="244"/>
      <c r="F7" s="245"/>
      <c r="G7" s="246">
        <f>SUM(J7:L7)</f>
        <v>0</v>
      </c>
      <c r="H7" s="112"/>
      <c r="I7" s="247">
        <f>D7-G7-H7</f>
        <v>0</v>
      </c>
      <c r="J7" s="55"/>
      <c r="K7" s="55"/>
      <c r="L7" s="55"/>
      <c r="M7" s="248"/>
      <c r="N7" s="249"/>
    </row>
    <row r="8" spans="1:14" ht="18" thickBot="1">
      <c r="A8" s="36"/>
      <c r="B8" s="484"/>
      <c r="C8" s="114">
        <f>'決算書不動産'!C7</f>
        <v>0</v>
      </c>
      <c r="D8" s="111">
        <f>'決算書不動産'!E7</f>
        <v>0</v>
      </c>
      <c r="E8" s="244"/>
      <c r="F8" s="245"/>
      <c r="G8" s="246">
        <f>SUM(J8:L8)</f>
        <v>0</v>
      </c>
      <c r="H8" s="112"/>
      <c r="I8" s="247">
        <f>D8-G8-H8</f>
        <v>0</v>
      </c>
      <c r="J8" s="55"/>
      <c r="K8" s="55"/>
      <c r="L8" s="55"/>
      <c r="M8" s="248"/>
      <c r="N8" s="249"/>
    </row>
    <row r="9" spans="1:14" ht="15.75" customHeight="1" thickBot="1">
      <c r="A9" s="36"/>
      <c r="B9" s="485"/>
      <c r="C9" s="251" t="s">
        <v>53</v>
      </c>
      <c r="D9" s="84">
        <f>SUM(D6:D8)</f>
        <v>0</v>
      </c>
      <c r="E9" s="252"/>
      <c r="F9" s="253"/>
      <c r="G9" s="84">
        <f>SUM(G6:G8)</f>
        <v>0</v>
      </c>
      <c r="H9" s="84">
        <f>SUM(H6:H8)</f>
        <v>0</v>
      </c>
      <c r="I9" s="84">
        <f>SUM(I6:I8)</f>
        <v>0</v>
      </c>
      <c r="J9" s="252"/>
      <c r="K9" s="253"/>
      <c r="L9" s="253"/>
      <c r="M9" s="254"/>
      <c r="N9" s="83"/>
    </row>
    <row r="10" spans="1:14" ht="15.75" customHeight="1">
      <c r="A10" s="36"/>
      <c r="B10" s="116"/>
      <c r="C10" s="117"/>
      <c r="D10" s="89"/>
      <c r="E10" s="89"/>
      <c r="F10" s="89"/>
      <c r="G10" s="89"/>
      <c r="H10" s="89"/>
      <c r="I10" s="89"/>
      <c r="J10" s="89"/>
      <c r="K10" s="89"/>
      <c r="L10" s="89"/>
      <c r="M10" s="89"/>
      <c r="N10" s="89"/>
    </row>
    <row r="11" ht="15">
      <c r="A11" s="36"/>
    </row>
    <row r="12" spans="1:16" s="257" customFormat="1" ht="24.75" thickBot="1">
      <c r="A12" s="98"/>
      <c r="B12" s="42"/>
      <c r="C12" s="822" t="s">
        <v>28</v>
      </c>
      <c r="D12" s="822"/>
      <c r="E12" s="822"/>
      <c r="F12" s="822"/>
      <c r="G12" s="822"/>
      <c r="H12" s="822"/>
      <c r="I12" s="822"/>
      <c r="J12" s="42"/>
      <c r="K12" s="42"/>
      <c r="L12" s="255"/>
      <c r="M12" s="255"/>
      <c r="N12" s="255"/>
      <c r="O12" s="256"/>
      <c r="P12" s="98"/>
    </row>
    <row r="13" spans="1:14" ht="36.75" customHeight="1" thickBot="1">
      <c r="A13" s="36"/>
      <c r="C13" s="487" t="s">
        <v>76</v>
      </c>
      <c r="D13" s="489" t="s">
        <v>98</v>
      </c>
      <c r="E13" s="491" t="s">
        <v>80</v>
      </c>
      <c r="F13" s="492"/>
      <c r="G13" s="491" t="s">
        <v>80</v>
      </c>
      <c r="H13" s="492"/>
      <c r="I13" s="481" t="s">
        <v>100</v>
      </c>
      <c r="J13" s="823" t="s">
        <v>29</v>
      </c>
      <c r="K13" s="825"/>
      <c r="L13" s="825"/>
      <c r="M13" s="826"/>
      <c r="N13" s="820"/>
    </row>
    <row r="14" spans="1:16" s="262" customFormat="1" ht="18.75" customHeight="1">
      <c r="A14" s="121"/>
      <c r="B14" s="121"/>
      <c r="C14" s="488"/>
      <c r="D14" s="490"/>
      <c r="E14" s="258" t="s">
        <v>30</v>
      </c>
      <c r="F14" s="258" t="s">
        <v>31</v>
      </c>
      <c r="G14" s="500"/>
      <c r="H14" s="501"/>
      <c r="I14" s="482"/>
      <c r="J14" s="259" t="s">
        <v>51</v>
      </c>
      <c r="K14" s="260"/>
      <c r="L14" s="260"/>
      <c r="M14" s="261" t="s">
        <v>52</v>
      </c>
      <c r="N14" s="821"/>
      <c r="O14" s="121"/>
      <c r="P14" s="121"/>
    </row>
    <row r="15" spans="1:14" ht="18">
      <c r="A15" s="36"/>
      <c r="C15" s="57" t="str">
        <f>'決算書不動産'!C9</f>
        <v>租税公課</v>
      </c>
      <c r="D15" s="263">
        <f>'決算書不動産'!E9</f>
        <v>0</v>
      </c>
      <c r="E15" s="264">
        <f aca="true" t="shared" si="0" ref="E15:E27">SUM(J15:L15)</f>
        <v>0</v>
      </c>
      <c r="F15" s="265">
        <f aca="true" t="shared" si="1" ref="F15:F27">M15</f>
        <v>0</v>
      </c>
      <c r="G15" s="266"/>
      <c r="H15" s="267">
        <f aca="true" t="shared" si="2" ref="H15:H27">E15+F15</f>
        <v>0</v>
      </c>
      <c r="I15" s="126">
        <f aca="true" t="shared" si="3" ref="I15:I27">D15-E15-F15</f>
        <v>0</v>
      </c>
      <c r="J15" s="268"/>
      <c r="K15" s="269"/>
      <c r="L15" s="269"/>
      <c r="M15" s="270">
        <f>D15</f>
        <v>0</v>
      </c>
      <c r="N15" s="271"/>
    </row>
    <row r="16" spans="1:14" ht="18.75" thickBot="1">
      <c r="A16" s="36"/>
      <c r="C16" s="272" t="str">
        <f>'決算書不動産'!C10</f>
        <v>損害保険料</v>
      </c>
      <c r="D16" s="263">
        <f>'決算書不動産'!E10</f>
        <v>0</v>
      </c>
      <c r="E16" s="264">
        <f t="shared" si="0"/>
        <v>0</v>
      </c>
      <c r="F16" s="265">
        <f t="shared" si="1"/>
        <v>0</v>
      </c>
      <c r="G16" s="266"/>
      <c r="H16" s="267">
        <f t="shared" si="2"/>
        <v>0</v>
      </c>
      <c r="I16" s="126">
        <f t="shared" si="3"/>
        <v>0</v>
      </c>
      <c r="J16" s="273">
        <f>D16</f>
        <v>0</v>
      </c>
      <c r="K16" s="274"/>
      <c r="L16" s="269"/>
      <c r="M16" s="275"/>
      <c r="N16" s="276"/>
    </row>
    <row r="17" spans="1:14" ht="18.75" thickBot="1">
      <c r="A17" s="36"/>
      <c r="C17" s="57" t="str">
        <f>'決算書不動産'!C11</f>
        <v>修繕費</v>
      </c>
      <c r="D17" s="263">
        <f>'決算書不動産'!E11</f>
        <v>0</v>
      </c>
      <c r="E17" s="264">
        <f t="shared" si="0"/>
        <v>0</v>
      </c>
      <c r="F17" s="265">
        <f t="shared" si="1"/>
        <v>0</v>
      </c>
      <c r="G17" s="266"/>
      <c r="H17" s="267">
        <f t="shared" si="2"/>
        <v>0</v>
      </c>
      <c r="I17" s="277">
        <f t="shared" si="3"/>
        <v>0</v>
      </c>
      <c r="J17" s="278"/>
      <c r="K17" s="274"/>
      <c r="L17" s="269"/>
      <c r="M17" s="279"/>
      <c r="N17" s="276"/>
    </row>
    <row r="18" spans="1:14" ht="18">
      <c r="A18" s="36"/>
      <c r="C18" s="57" t="str">
        <f>'決算書不動産'!C12</f>
        <v>減価償却費</v>
      </c>
      <c r="D18" s="263">
        <f>'決算書不動産'!E12</f>
        <v>0</v>
      </c>
      <c r="E18" s="264">
        <f t="shared" si="0"/>
        <v>0</v>
      </c>
      <c r="F18" s="265">
        <f t="shared" si="1"/>
        <v>0</v>
      </c>
      <c r="G18" s="266"/>
      <c r="H18" s="267">
        <f t="shared" si="2"/>
        <v>0</v>
      </c>
      <c r="I18" s="126">
        <f t="shared" si="3"/>
        <v>0</v>
      </c>
      <c r="J18" s="280"/>
      <c r="K18" s="281"/>
      <c r="L18" s="269"/>
      <c r="M18" s="282">
        <f>D18</f>
        <v>0</v>
      </c>
      <c r="N18" s="271"/>
    </row>
    <row r="19" spans="1:14" ht="18.75" thickBot="1">
      <c r="A19" s="36"/>
      <c r="C19" s="57" t="str">
        <f>'決算書不動産'!C13</f>
        <v>借入金利子</v>
      </c>
      <c r="D19" s="263">
        <f>'決算書不動産'!E13</f>
        <v>0</v>
      </c>
      <c r="E19" s="264">
        <f t="shared" si="0"/>
        <v>0</v>
      </c>
      <c r="F19" s="265">
        <f t="shared" si="1"/>
        <v>0</v>
      </c>
      <c r="G19" s="266"/>
      <c r="H19" s="267">
        <f t="shared" si="2"/>
        <v>0</v>
      </c>
      <c r="I19" s="126">
        <f t="shared" si="3"/>
        <v>0</v>
      </c>
      <c r="J19" s="283">
        <f>D19</f>
        <v>0</v>
      </c>
      <c r="K19" s="274"/>
      <c r="L19" s="269"/>
      <c r="M19" s="284"/>
      <c r="N19" s="276"/>
    </row>
    <row r="20" spans="1:14" ht="18.75" thickBot="1">
      <c r="A20" s="36"/>
      <c r="C20" s="57" t="str">
        <f>'決算書不動産'!C14</f>
        <v>地代家賃</v>
      </c>
      <c r="D20" s="263">
        <f>'決算書不動産'!E14</f>
        <v>0</v>
      </c>
      <c r="E20" s="264">
        <f t="shared" si="0"/>
        <v>0</v>
      </c>
      <c r="F20" s="265">
        <f t="shared" si="1"/>
        <v>0</v>
      </c>
      <c r="G20" s="266"/>
      <c r="H20" s="267">
        <f t="shared" si="2"/>
        <v>0</v>
      </c>
      <c r="I20" s="285">
        <f t="shared" si="3"/>
        <v>0</v>
      </c>
      <c r="J20" s="286"/>
      <c r="K20" s="274"/>
      <c r="L20" s="269"/>
      <c r="M20" s="287"/>
      <c r="N20" s="276"/>
    </row>
    <row r="21" spans="1:14" ht="18.75" thickBot="1">
      <c r="A21" s="36"/>
      <c r="C21" s="57" t="str">
        <f>'決算書不動産'!C15</f>
        <v>給料賃金</v>
      </c>
      <c r="D21" s="263">
        <f>'決算書不動産'!E15</f>
        <v>0</v>
      </c>
      <c r="E21" s="264">
        <f t="shared" si="0"/>
        <v>0</v>
      </c>
      <c r="F21" s="265">
        <f t="shared" si="1"/>
        <v>0</v>
      </c>
      <c r="G21" s="266"/>
      <c r="H21" s="267">
        <f t="shared" si="2"/>
        <v>0</v>
      </c>
      <c r="I21" s="126">
        <f t="shared" si="3"/>
        <v>0</v>
      </c>
      <c r="J21" s="280"/>
      <c r="K21" s="281"/>
      <c r="L21" s="269"/>
      <c r="M21" s="286"/>
      <c r="N21" s="271"/>
    </row>
    <row r="22" spans="1:14" ht="18.75" thickBot="1">
      <c r="A22" s="36"/>
      <c r="C22" s="57">
        <f>'決算書不動産'!C16</f>
        <v>0</v>
      </c>
      <c r="D22" s="263">
        <f>'決算書不動産'!E16</f>
        <v>0</v>
      </c>
      <c r="E22" s="264">
        <f t="shared" si="0"/>
        <v>0</v>
      </c>
      <c r="F22" s="265">
        <f t="shared" si="1"/>
        <v>0</v>
      </c>
      <c r="G22" s="266"/>
      <c r="H22" s="267">
        <f t="shared" si="2"/>
        <v>0</v>
      </c>
      <c r="I22" s="277">
        <f t="shared" si="3"/>
        <v>0</v>
      </c>
      <c r="J22" s="278"/>
      <c r="K22" s="288"/>
      <c r="L22" s="269"/>
      <c r="M22" s="289"/>
      <c r="N22" s="276"/>
    </row>
    <row r="23" spans="1:14" ht="18.75" thickBot="1">
      <c r="A23" s="36"/>
      <c r="C23" s="57">
        <f>'決算書不動産'!G5</f>
        <v>0</v>
      </c>
      <c r="D23" s="263">
        <f>'決算書不動産'!I5</f>
        <v>0</v>
      </c>
      <c r="E23" s="264">
        <f t="shared" si="0"/>
        <v>0</v>
      </c>
      <c r="F23" s="265">
        <f t="shared" si="1"/>
        <v>0</v>
      </c>
      <c r="G23" s="266"/>
      <c r="H23" s="267">
        <f t="shared" si="2"/>
        <v>0</v>
      </c>
      <c r="I23" s="277">
        <f t="shared" si="3"/>
        <v>0</v>
      </c>
      <c r="J23" s="278"/>
      <c r="K23" s="288"/>
      <c r="L23" s="269"/>
      <c r="M23" s="290"/>
      <c r="N23" s="276"/>
    </row>
    <row r="24" spans="1:14" ht="18.75" thickBot="1">
      <c r="A24" s="36"/>
      <c r="C24" s="57">
        <f>'決算書不動産'!G6</f>
        <v>0</v>
      </c>
      <c r="D24" s="263">
        <f>'決算書不動産'!I6</f>
        <v>0</v>
      </c>
      <c r="E24" s="264">
        <f t="shared" si="0"/>
        <v>0</v>
      </c>
      <c r="F24" s="265">
        <f t="shared" si="1"/>
        <v>0</v>
      </c>
      <c r="G24" s="266"/>
      <c r="H24" s="267">
        <f t="shared" si="2"/>
        <v>0</v>
      </c>
      <c r="I24" s="277">
        <f t="shared" si="3"/>
        <v>0</v>
      </c>
      <c r="J24" s="278"/>
      <c r="K24" s="288"/>
      <c r="L24" s="269"/>
      <c r="M24" s="290"/>
      <c r="N24" s="276"/>
    </row>
    <row r="25" spans="1:14" ht="18.75" thickBot="1">
      <c r="A25" s="36"/>
      <c r="C25" s="57">
        <f>'決算書不動産'!G7</f>
        <v>0</v>
      </c>
      <c r="D25" s="263">
        <f>'決算書不動産'!I7</f>
        <v>0</v>
      </c>
      <c r="E25" s="264">
        <f t="shared" si="0"/>
        <v>0</v>
      </c>
      <c r="F25" s="265">
        <f t="shared" si="1"/>
        <v>0</v>
      </c>
      <c r="G25" s="266"/>
      <c r="H25" s="267">
        <f t="shared" si="2"/>
        <v>0</v>
      </c>
      <c r="I25" s="277">
        <f t="shared" si="3"/>
        <v>0</v>
      </c>
      <c r="J25" s="278"/>
      <c r="K25" s="288"/>
      <c r="L25" s="269"/>
      <c r="M25" s="290"/>
      <c r="N25" s="276"/>
    </row>
    <row r="26" spans="1:14" ht="18.75" thickBot="1">
      <c r="A26" s="36"/>
      <c r="C26" s="57">
        <f>'決算書不動産'!G8</f>
        <v>0</v>
      </c>
      <c r="D26" s="263">
        <f>'決算書不動産'!I8</f>
        <v>0</v>
      </c>
      <c r="E26" s="264">
        <f t="shared" si="0"/>
        <v>0</v>
      </c>
      <c r="F26" s="265">
        <f t="shared" si="1"/>
        <v>0</v>
      </c>
      <c r="G26" s="266"/>
      <c r="H26" s="267">
        <f t="shared" si="2"/>
        <v>0</v>
      </c>
      <c r="I26" s="277">
        <f t="shared" si="3"/>
        <v>0</v>
      </c>
      <c r="J26" s="278"/>
      <c r="K26" s="288"/>
      <c r="L26" s="269"/>
      <c r="M26" s="290"/>
      <c r="N26" s="276"/>
    </row>
    <row r="27" spans="1:14" ht="18.75" thickBot="1">
      <c r="A27" s="36"/>
      <c r="C27" s="291" t="str">
        <f>'決算書不動産'!G9</f>
        <v>その他の経費</v>
      </c>
      <c r="D27" s="292">
        <f>'決算書不動産'!I9</f>
        <v>0</v>
      </c>
      <c r="E27" s="293">
        <f t="shared" si="0"/>
        <v>0</v>
      </c>
      <c r="F27" s="294">
        <f t="shared" si="1"/>
        <v>0</v>
      </c>
      <c r="G27" s="295"/>
      <c r="H27" s="296">
        <f t="shared" si="2"/>
        <v>0</v>
      </c>
      <c r="I27" s="297">
        <f t="shared" si="3"/>
        <v>0</v>
      </c>
      <c r="J27" s="278"/>
      <c r="K27" s="298"/>
      <c r="L27" s="299"/>
      <c r="M27" s="299"/>
      <c r="N27" s="276"/>
    </row>
    <row r="28" spans="1:14" ht="18" thickBot="1">
      <c r="A28" s="36"/>
      <c r="C28" s="300" t="s">
        <v>106</v>
      </c>
      <c r="D28" s="137">
        <f>SUM(D15:D27)</f>
        <v>0</v>
      </c>
      <c r="E28" s="137">
        <f>SUM(E15:E27)</f>
        <v>0</v>
      </c>
      <c r="F28" s="137">
        <f>SUM(F15:F27)</f>
        <v>0</v>
      </c>
      <c r="G28" s="301"/>
      <c r="H28" s="138">
        <f>SUM(H15:H27)</f>
        <v>0</v>
      </c>
      <c r="I28" s="139">
        <f>SUM(I15:I27)</f>
        <v>0</v>
      </c>
      <c r="J28" s="302"/>
      <c r="K28" s="303"/>
      <c r="L28" s="303"/>
      <c r="M28" s="303"/>
      <c r="N28" s="304"/>
    </row>
    <row r="29" ht="15">
      <c r="A29" s="36"/>
    </row>
    <row r="30" ht="15">
      <c r="A30" s="36"/>
    </row>
    <row r="31" ht="15">
      <c r="A31" s="36"/>
    </row>
  </sheetData>
  <sheetProtection/>
  <mergeCells count="17">
    <mergeCell ref="C1:G1"/>
    <mergeCell ref="E13:F13"/>
    <mergeCell ref="G13:H14"/>
    <mergeCell ref="D4:D5"/>
    <mergeCell ref="C4:C5"/>
    <mergeCell ref="G4:H4"/>
    <mergeCell ref="D13:D14"/>
    <mergeCell ref="C12:I12"/>
    <mergeCell ref="N13:N14"/>
    <mergeCell ref="C13:C14"/>
    <mergeCell ref="B3:I3"/>
    <mergeCell ref="B6:B9"/>
    <mergeCell ref="B4:B5"/>
    <mergeCell ref="J4:N4"/>
    <mergeCell ref="I13:I14"/>
    <mergeCell ref="J13:M13"/>
    <mergeCell ref="I4:I5"/>
  </mergeCells>
  <dataValidations count="1">
    <dataValidation allowBlank="1" showInputMessage="1" showErrorMessage="1" imeMode="off" sqref="G6:N10"/>
  </dataValidations>
  <printOptions horizontalCentered="1"/>
  <pageMargins left="0.31" right="0.31" top="0.78" bottom="0.51" header="0" footer="0"/>
  <pageSetup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3">
    <tabColor rgb="FF92D050"/>
  </sheetPr>
  <dimension ref="A1:O94"/>
  <sheetViews>
    <sheetView zoomScale="80" zoomScaleNormal="80" zoomScalePageLayoutView="0" workbookViewId="0" topLeftCell="C2">
      <selection activeCell="C1" sqref="A1:IV1"/>
    </sheetView>
  </sheetViews>
  <sheetFormatPr defaultColWidth="9.00390625" defaultRowHeight="13.5"/>
  <cols>
    <col min="1" max="2" width="0" style="0" hidden="1" customWidth="1"/>
    <col min="3" max="3" width="4.25390625" style="0" customWidth="1"/>
    <col min="4" max="4" width="15.875" style="0" customWidth="1"/>
    <col min="5" max="5" width="23.00390625" style="0" customWidth="1"/>
    <col min="6" max="6" width="2.50390625" style="0" customWidth="1"/>
    <col min="7" max="7" width="10.75390625" style="0" customWidth="1"/>
    <col min="8" max="13" width="11.375" style="0" customWidth="1"/>
    <col min="14" max="14" width="16.375" style="0" customWidth="1"/>
    <col min="15" max="15" width="9.125" style="0" customWidth="1"/>
  </cols>
  <sheetData>
    <row r="1" spans="1:12" ht="15" hidden="1">
      <c r="A1" s="208"/>
      <c r="B1" s="208"/>
      <c r="C1" s="208"/>
      <c r="D1" s="208"/>
      <c r="E1" s="208"/>
      <c r="F1" s="865" t="s">
        <v>232</v>
      </c>
      <c r="G1" s="865"/>
      <c r="H1" s="866"/>
      <c r="I1" s="209">
        <f>IF(J1&gt;=2,2,J1)</f>
        <v>0</v>
      </c>
      <c r="J1" s="210">
        <f>COUNTIF(N31:N39,"&gt;0")</f>
        <v>0</v>
      </c>
      <c r="K1" s="208"/>
      <c r="L1" s="208"/>
    </row>
    <row r="2" ht="30.75" customHeight="1"/>
    <row r="3" s="350" customFormat="1" ht="13.5"/>
    <row r="4" spans="4:14" s="350" customFormat="1" ht="13.5">
      <c r="D4" s="350" t="s">
        <v>372</v>
      </c>
      <c r="N4" s="836" t="s">
        <v>374</v>
      </c>
    </row>
    <row r="5" spans="4:14" ht="13.5">
      <c r="D5" t="s">
        <v>373</v>
      </c>
      <c r="N5" s="837"/>
    </row>
    <row r="7" spans="8:15" ht="49.5" customHeight="1">
      <c r="H7" s="351" t="s">
        <v>375</v>
      </c>
      <c r="I7" s="833" t="s">
        <v>388</v>
      </c>
      <c r="J7" s="834"/>
      <c r="K7" s="834"/>
      <c r="L7" s="352" t="s">
        <v>376</v>
      </c>
      <c r="M7" s="835"/>
      <c r="N7" s="835"/>
      <c r="O7" s="835"/>
    </row>
    <row r="8" ht="7.5" customHeight="1">
      <c r="N8" s="350"/>
    </row>
    <row r="9" ht="13.5">
      <c r="D9" t="s">
        <v>377</v>
      </c>
    </row>
    <row r="10" spans="4:15" ht="27" customHeight="1">
      <c r="D10" s="838" t="s">
        <v>378</v>
      </c>
      <c r="E10" s="839"/>
      <c r="F10" s="839"/>
      <c r="G10" s="832"/>
      <c r="H10" s="638" t="s">
        <v>324</v>
      </c>
      <c r="I10" s="639"/>
      <c r="J10" s="638" t="s">
        <v>325</v>
      </c>
      <c r="K10" s="639"/>
      <c r="L10" s="638" t="s">
        <v>326</v>
      </c>
      <c r="M10" s="639"/>
      <c r="N10" s="831" t="s">
        <v>353</v>
      </c>
      <c r="O10" s="832"/>
    </row>
    <row r="11" spans="4:15" ht="13.5">
      <c r="D11" s="840" t="s">
        <v>389</v>
      </c>
      <c r="E11" s="841"/>
      <c r="F11" s="841"/>
      <c r="G11" s="835" t="s">
        <v>401</v>
      </c>
      <c r="H11" s="828" t="s">
        <v>536</v>
      </c>
      <c r="I11" s="828"/>
      <c r="J11" s="828" t="s">
        <v>537</v>
      </c>
      <c r="K11" s="828"/>
      <c r="L11" s="828" t="s">
        <v>533</v>
      </c>
      <c r="M11" s="828"/>
      <c r="N11" s="828" t="s">
        <v>534</v>
      </c>
      <c r="O11" s="828"/>
    </row>
    <row r="12" spans="4:15" ht="27" customHeight="1">
      <c r="D12" s="841"/>
      <c r="E12" s="841"/>
      <c r="F12" s="841"/>
      <c r="G12" s="835"/>
      <c r="H12" s="829"/>
      <c r="I12" s="829"/>
      <c r="J12" s="830">
        <f>'簡易付表4'!G12</f>
        <v>0</v>
      </c>
      <c r="K12" s="830"/>
      <c r="L12" s="830">
        <f>'簡易付表4'!I12</f>
        <v>0</v>
      </c>
      <c r="M12" s="830"/>
      <c r="N12" s="830">
        <f>J12+L12</f>
        <v>0</v>
      </c>
      <c r="O12" s="830"/>
    </row>
    <row r="13" spans="4:15" ht="13.5">
      <c r="D13" s="840" t="s">
        <v>390</v>
      </c>
      <c r="E13" s="841"/>
      <c r="F13" s="841"/>
      <c r="G13" s="835" t="s">
        <v>402</v>
      </c>
      <c r="H13" s="828" t="s">
        <v>393</v>
      </c>
      <c r="I13" s="828"/>
      <c r="J13" s="828" t="s">
        <v>394</v>
      </c>
      <c r="K13" s="828"/>
      <c r="L13" s="828" t="s">
        <v>395</v>
      </c>
      <c r="M13" s="828"/>
      <c r="N13" s="828" t="s">
        <v>396</v>
      </c>
      <c r="O13" s="828"/>
    </row>
    <row r="14" spans="4:15" ht="27.75" customHeight="1">
      <c r="D14" s="841"/>
      <c r="E14" s="841"/>
      <c r="F14" s="841"/>
      <c r="G14" s="835"/>
      <c r="H14" s="829"/>
      <c r="I14" s="829"/>
      <c r="J14" s="830">
        <f>'簡易付表4'!G14</f>
        <v>0</v>
      </c>
      <c r="K14" s="830"/>
      <c r="L14" s="830">
        <f>'簡易付表4'!I14</f>
        <v>0</v>
      </c>
      <c r="M14" s="830"/>
      <c r="N14" s="830">
        <f>J14+L14</f>
        <v>0</v>
      </c>
      <c r="O14" s="830"/>
    </row>
    <row r="15" spans="4:15" ht="13.5">
      <c r="D15" s="840" t="s">
        <v>391</v>
      </c>
      <c r="E15" s="841"/>
      <c r="F15" s="841"/>
      <c r="G15" s="835" t="s">
        <v>403</v>
      </c>
      <c r="H15" s="828" t="s">
        <v>397</v>
      </c>
      <c r="I15" s="828"/>
      <c r="J15" s="828" t="s">
        <v>398</v>
      </c>
      <c r="K15" s="828"/>
      <c r="L15" s="828" t="s">
        <v>399</v>
      </c>
      <c r="M15" s="828"/>
      <c r="N15" s="828" t="s">
        <v>400</v>
      </c>
      <c r="O15" s="828"/>
    </row>
    <row r="16" spans="4:15" ht="27.75" customHeight="1">
      <c r="D16" s="841"/>
      <c r="E16" s="841"/>
      <c r="F16" s="841"/>
      <c r="G16" s="835"/>
      <c r="H16" s="829"/>
      <c r="I16" s="829"/>
      <c r="J16" s="830">
        <f>'簡易付表4'!G18</f>
        <v>0</v>
      </c>
      <c r="K16" s="830"/>
      <c r="L16" s="830">
        <f>'簡易付表4'!I18</f>
        <v>0</v>
      </c>
      <c r="M16" s="830"/>
      <c r="N16" s="830">
        <f>J16+L16</f>
        <v>0</v>
      </c>
      <c r="O16" s="830"/>
    </row>
    <row r="17" spans="4:15" ht="13.5">
      <c r="D17" s="840" t="s">
        <v>392</v>
      </c>
      <c r="E17" s="841"/>
      <c r="F17" s="841"/>
      <c r="G17" s="835" t="s">
        <v>404</v>
      </c>
      <c r="H17" s="836"/>
      <c r="I17" s="836"/>
      <c r="J17" s="836"/>
      <c r="K17" s="836"/>
      <c r="L17" s="836"/>
      <c r="M17" s="836"/>
      <c r="N17" s="836"/>
      <c r="O17" s="836"/>
    </row>
    <row r="18" spans="4:15" ht="32.25" customHeight="1">
      <c r="D18" s="841"/>
      <c r="E18" s="841"/>
      <c r="F18" s="841"/>
      <c r="G18" s="835"/>
      <c r="H18" s="842"/>
      <c r="I18" s="842"/>
      <c r="J18" s="843">
        <f>J12+J14-J16</f>
        <v>0</v>
      </c>
      <c r="K18" s="843"/>
      <c r="L18" s="843">
        <f>L12+L14-L16</f>
        <v>0</v>
      </c>
      <c r="M18" s="843"/>
      <c r="N18" s="843">
        <f>J18+L18</f>
        <v>0</v>
      </c>
      <c r="O18" s="843"/>
    </row>
    <row r="19" s="349" customFormat="1" ht="13.5"/>
    <row r="20" s="349" customFormat="1" ht="24" customHeight="1">
      <c r="D20" s="349" t="s">
        <v>379</v>
      </c>
    </row>
    <row r="21" spans="4:15" ht="27.75" customHeight="1">
      <c r="D21" s="838" t="s">
        <v>378</v>
      </c>
      <c r="E21" s="839"/>
      <c r="F21" s="839"/>
      <c r="G21" s="832"/>
      <c r="H21" s="638" t="s">
        <v>324</v>
      </c>
      <c r="I21" s="639"/>
      <c r="J21" s="638" t="s">
        <v>325</v>
      </c>
      <c r="K21" s="639"/>
      <c r="L21" s="638" t="s">
        <v>326</v>
      </c>
      <c r="M21" s="639"/>
      <c r="N21" s="831" t="s">
        <v>353</v>
      </c>
      <c r="O21" s="832"/>
    </row>
    <row r="22" spans="4:15" ht="13.5">
      <c r="D22" s="840" t="s">
        <v>406</v>
      </c>
      <c r="E22" s="841"/>
      <c r="F22" s="841"/>
      <c r="G22" s="835" t="s">
        <v>405</v>
      </c>
      <c r="H22" s="828" t="s">
        <v>535</v>
      </c>
      <c r="I22" s="828"/>
      <c r="J22" s="828" t="s">
        <v>538</v>
      </c>
      <c r="K22" s="828"/>
      <c r="L22" s="828" t="s">
        <v>539</v>
      </c>
      <c r="M22" s="828"/>
      <c r="N22" s="828" t="s">
        <v>540</v>
      </c>
      <c r="O22" s="828"/>
    </row>
    <row r="23" spans="4:15" ht="27" customHeight="1">
      <c r="D23" s="841"/>
      <c r="E23" s="841"/>
      <c r="F23" s="841"/>
      <c r="G23" s="835"/>
      <c r="H23" s="837"/>
      <c r="I23" s="837"/>
      <c r="J23" s="843">
        <f>INT(IF(I1=1,J18*70%,0))</f>
        <v>0</v>
      </c>
      <c r="K23" s="843"/>
      <c r="L23" s="843">
        <f>INT(IF(I1=1,L18*70%,0))</f>
        <v>0</v>
      </c>
      <c r="M23" s="843"/>
      <c r="N23" s="843">
        <f>J23+L23</f>
        <v>0</v>
      </c>
      <c r="O23" s="843"/>
    </row>
    <row r="24" s="349" customFormat="1" ht="13.5"/>
    <row r="25" s="349" customFormat="1" ht="13.5">
      <c r="D25" s="349" t="s">
        <v>380</v>
      </c>
    </row>
    <row r="26" s="349" customFormat="1" ht="13.5">
      <c r="D26" s="349" t="s">
        <v>381</v>
      </c>
    </row>
    <row r="27" spans="4:15" ht="27.75" customHeight="1">
      <c r="D27" s="838" t="s">
        <v>378</v>
      </c>
      <c r="E27" s="839"/>
      <c r="F27" s="839"/>
      <c r="G27" s="832"/>
      <c r="H27" s="638" t="s">
        <v>324</v>
      </c>
      <c r="I27" s="639"/>
      <c r="J27" s="638" t="s">
        <v>325</v>
      </c>
      <c r="K27" s="639"/>
      <c r="L27" s="638" t="s">
        <v>326</v>
      </c>
      <c r="M27" s="639"/>
      <c r="N27" s="831" t="s">
        <v>353</v>
      </c>
      <c r="O27" s="832"/>
    </row>
    <row r="28" spans="4:15" ht="13.5">
      <c r="D28" s="841" t="s">
        <v>410</v>
      </c>
      <c r="E28" s="841"/>
      <c r="F28" s="841"/>
      <c r="G28" s="835" t="s">
        <v>508</v>
      </c>
      <c r="H28" s="845" t="s">
        <v>411</v>
      </c>
      <c r="I28" s="845"/>
      <c r="J28" s="845" t="s">
        <v>411</v>
      </c>
      <c r="K28" s="845"/>
      <c r="L28" s="845" t="s">
        <v>411</v>
      </c>
      <c r="M28" s="845"/>
      <c r="N28" s="446" t="s">
        <v>541</v>
      </c>
      <c r="O28" s="846" t="s">
        <v>412</v>
      </c>
    </row>
    <row r="29" spans="4:15" ht="27.75" customHeight="1">
      <c r="D29" s="844"/>
      <c r="E29" s="841"/>
      <c r="F29" s="841"/>
      <c r="G29" s="835"/>
      <c r="H29" s="837"/>
      <c r="I29" s="837"/>
      <c r="J29" s="843">
        <f>SUM(J31:K39)</f>
        <v>0</v>
      </c>
      <c r="K29" s="843"/>
      <c r="L29" s="843">
        <f>SUM(L31:M39)</f>
        <v>0</v>
      </c>
      <c r="M29" s="843"/>
      <c r="N29" s="439">
        <f>J29+L29</f>
        <v>0</v>
      </c>
      <c r="O29" s="837"/>
    </row>
    <row r="30" spans="4:15" ht="13.5">
      <c r="D30" s="848"/>
      <c r="E30" s="853" t="s">
        <v>415</v>
      </c>
      <c r="F30" s="854"/>
      <c r="G30" s="835" t="s">
        <v>509</v>
      </c>
      <c r="H30" s="836"/>
      <c r="I30" s="836"/>
      <c r="J30" s="836"/>
      <c r="K30" s="836"/>
      <c r="L30" s="836"/>
      <c r="M30" s="836"/>
      <c r="N30" s="354" t="s">
        <v>414</v>
      </c>
      <c r="O30" s="353" t="s">
        <v>413</v>
      </c>
    </row>
    <row r="31" spans="4:15" ht="29.25" customHeight="1">
      <c r="D31" s="841"/>
      <c r="E31" s="855"/>
      <c r="F31" s="856"/>
      <c r="G31" s="835"/>
      <c r="H31" s="837"/>
      <c r="I31" s="837"/>
      <c r="J31" s="857"/>
      <c r="K31" s="857"/>
      <c r="L31" s="857"/>
      <c r="M31" s="857"/>
      <c r="N31" s="439">
        <f>J31+L31</f>
        <v>0</v>
      </c>
      <c r="O31" s="440">
        <f>IF($N$29=0,0,N31/$N$29)</f>
        <v>0</v>
      </c>
    </row>
    <row r="32" spans="4:15" ht="16.5" customHeight="1">
      <c r="D32" s="841"/>
      <c r="E32" s="853" t="s">
        <v>416</v>
      </c>
      <c r="F32" s="854"/>
      <c r="G32" s="835" t="s">
        <v>510</v>
      </c>
      <c r="H32" s="836"/>
      <c r="I32" s="836"/>
      <c r="J32" s="836"/>
      <c r="K32" s="836"/>
      <c r="L32" s="836"/>
      <c r="M32" s="836"/>
      <c r="N32" s="354" t="s">
        <v>414</v>
      </c>
      <c r="O32" s="441"/>
    </row>
    <row r="33" spans="4:15" ht="27" customHeight="1">
      <c r="D33" s="841"/>
      <c r="E33" s="855"/>
      <c r="F33" s="856"/>
      <c r="G33" s="835"/>
      <c r="H33" s="837"/>
      <c r="I33" s="837"/>
      <c r="J33" s="843">
        <f>'売上修正'!L32</f>
        <v>0</v>
      </c>
      <c r="K33" s="849"/>
      <c r="L33" s="843">
        <f>'売上修正'!R32</f>
        <v>0</v>
      </c>
      <c r="M33" s="843"/>
      <c r="N33" s="439">
        <f>J33+L33</f>
        <v>0</v>
      </c>
      <c r="O33" s="440">
        <f>IF($N$29=0,0,N33/$N$29)</f>
        <v>0</v>
      </c>
    </row>
    <row r="34" spans="4:15" ht="17.25" customHeight="1">
      <c r="D34" s="841"/>
      <c r="E34" s="853" t="s">
        <v>417</v>
      </c>
      <c r="F34" s="854"/>
      <c r="G34" s="835" t="s">
        <v>511</v>
      </c>
      <c r="H34" s="836"/>
      <c r="I34" s="836"/>
      <c r="J34" s="836"/>
      <c r="K34" s="836"/>
      <c r="L34" s="836"/>
      <c r="M34" s="836"/>
      <c r="N34" s="354" t="s">
        <v>414</v>
      </c>
      <c r="O34" s="441"/>
    </row>
    <row r="35" spans="4:15" ht="27" customHeight="1">
      <c r="D35" s="841"/>
      <c r="E35" s="855"/>
      <c r="F35" s="856"/>
      <c r="G35" s="835"/>
      <c r="H35" s="837"/>
      <c r="I35" s="837"/>
      <c r="J35" s="843">
        <f>'売上修正'!L33</f>
        <v>0</v>
      </c>
      <c r="K35" s="849"/>
      <c r="L35" s="843">
        <f>'売上修正'!R33</f>
        <v>0</v>
      </c>
      <c r="M35" s="843"/>
      <c r="N35" s="439">
        <f>J35+L35</f>
        <v>0</v>
      </c>
      <c r="O35" s="440">
        <f>IF($N$29=0,0,N35/$N$29)</f>
        <v>0</v>
      </c>
    </row>
    <row r="36" spans="4:15" ht="14.25" customHeight="1">
      <c r="D36" s="841"/>
      <c r="E36" s="853" t="s">
        <v>418</v>
      </c>
      <c r="F36" s="854"/>
      <c r="G36" s="835" t="s">
        <v>512</v>
      </c>
      <c r="H36" s="836"/>
      <c r="I36" s="836"/>
      <c r="J36" s="836"/>
      <c r="K36" s="836"/>
      <c r="L36" s="836"/>
      <c r="M36" s="836"/>
      <c r="N36" s="354" t="s">
        <v>414</v>
      </c>
      <c r="O36" s="441"/>
    </row>
    <row r="37" spans="4:15" ht="27.75" customHeight="1">
      <c r="D37" s="841"/>
      <c r="E37" s="855"/>
      <c r="F37" s="856"/>
      <c r="G37" s="835"/>
      <c r="H37" s="837"/>
      <c r="I37" s="837"/>
      <c r="J37" s="843">
        <f>'売上修正'!L34</f>
        <v>0</v>
      </c>
      <c r="K37" s="849"/>
      <c r="L37" s="843">
        <f>'売上修正'!R34</f>
        <v>0</v>
      </c>
      <c r="M37" s="843"/>
      <c r="N37" s="439">
        <f>J37+L37</f>
        <v>0</v>
      </c>
      <c r="O37" s="440">
        <f>IF($N$29=0,0,N37/$N$29)</f>
        <v>0</v>
      </c>
    </row>
    <row r="38" spans="4:15" ht="14.25" customHeight="1">
      <c r="D38" s="841"/>
      <c r="E38" s="853" t="s">
        <v>419</v>
      </c>
      <c r="F38" s="854"/>
      <c r="G38" s="835" t="s">
        <v>513</v>
      </c>
      <c r="H38" s="836"/>
      <c r="I38" s="836"/>
      <c r="J38" s="836"/>
      <c r="K38" s="847"/>
      <c r="L38" s="836"/>
      <c r="M38" s="836"/>
      <c r="N38" s="354" t="s">
        <v>414</v>
      </c>
      <c r="O38" s="441"/>
    </row>
    <row r="39" spans="4:15" ht="27.75" customHeight="1">
      <c r="D39" s="841"/>
      <c r="E39" s="855"/>
      <c r="F39" s="856"/>
      <c r="G39" s="835"/>
      <c r="H39" s="837"/>
      <c r="I39" s="837"/>
      <c r="J39" s="843">
        <f>'売上修正'!L35</f>
        <v>0</v>
      </c>
      <c r="K39" s="843"/>
      <c r="L39" s="843">
        <f>'売上修正'!R35</f>
        <v>0</v>
      </c>
      <c r="M39" s="843"/>
      <c r="N39" s="439">
        <f>J39+L39</f>
        <v>0</v>
      </c>
      <c r="O39" s="440">
        <f>IF($N$29=0,0,N39/$N$29)</f>
        <v>0</v>
      </c>
    </row>
    <row r="40" s="349" customFormat="1" ht="13.5"/>
    <row r="41" s="349" customFormat="1" ht="13.5">
      <c r="D41" s="349" t="s">
        <v>382</v>
      </c>
    </row>
    <row r="42" spans="4:15" s="349" customFormat="1" ht="37.5" customHeight="1">
      <c r="D42" s="838" t="s">
        <v>378</v>
      </c>
      <c r="E42" s="839"/>
      <c r="F42" s="839"/>
      <c r="G42" s="832"/>
      <c r="H42" s="638" t="s">
        <v>324</v>
      </c>
      <c r="I42" s="639"/>
      <c r="J42" s="638" t="s">
        <v>325</v>
      </c>
      <c r="K42" s="639"/>
      <c r="L42" s="638" t="s">
        <v>326</v>
      </c>
      <c r="M42" s="639"/>
      <c r="N42" s="831" t="s">
        <v>353</v>
      </c>
      <c r="O42" s="832"/>
    </row>
    <row r="43" spans="4:15" s="349" customFormat="1" ht="13.5">
      <c r="D43" s="841" t="s">
        <v>410</v>
      </c>
      <c r="E43" s="841"/>
      <c r="F43" s="841"/>
      <c r="G43" s="835" t="s">
        <v>514</v>
      </c>
      <c r="H43" s="845" t="s">
        <v>411</v>
      </c>
      <c r="I43" s="845"/>
      <c r="J43" s="845" t="s">
        <v>411</v>
      </c>
      <c r="K43" s="845"/>
      <c r="L43" s="845" t="s">
        <v>411</v>
      </c>
      <c r="M43" s="845"/>
      <c r="N43" s="845" t="s">
        <v>411</v>
      </c>
      <c r="O43" s="845"/>
    </row>
    <row r="44" spans="4:15" s="349" customFormat="1" ht="27" customHeight="1">
      <c r="D44" s="844"/>
      <c r="E44" s="841"/>
      <c r="F44" s="841"/>
      <c r="G44" s="835"/>
      <c r="H44" s="837"/>
      <c r="I44" s="837"/>
      <c r="J44" s="843">
        <f>SUM(J46,J48,J50,J52,J54)</f>
        <v>0</v>
      </c>
      <c r="K44" s="843"/>
      <c r="L44" s="843">
        <f>SUM(L46,L48,L50,L52,L54)</f>
        <v>0</v>
      </c>
      <c r="M44" s="843"/>
      <c r="N44" s="843">
        <f>J44+L44</f>
        <v>0</v>
      </c>
      <c r="O44" s="843"/>
    </row>
    <row r="45" spans="4:15" s="349" customFormat="1" ht="15">
      <c r="D45" s="852"/>
      <c r="E45" s="853" t="s">
        <v>415</v>
      </c>
      <c r="F45" s="854"/>
      <c r="G45" s="835" t="s">
        <v>515</v>
      </c>
      <c r="H45" s="836"/>
      <c r="I45" s="836"/>
      <c r="J45" s="850"/>
      <c r="K45" s="850"/>
      <c r="L45" s="850"/>
      <c r="M45" s="850"/>
      <c r="N45" s="850"/>
      <c r="O45" s="850"/>
    </row>
    <row r="46" spans="4:15" ht="26.25" customHeight="1">
      <c r="D46" s="852"/>
      <c r="E46" s="855"/>
      <c r="F46" s="856"/>
      <c r="G46" s="835"/>
      <c r="H46" s="837"/>
      <c r="I46" s="837"/>
      <c r="J46" s="843">
        <f>ROUND(J31*0.04,0)</f>
        <v>0</v>
      </c>
      <c r="K46" s="843"/>
      <c r="L46" s="843">
        <f>ROUND(L31*0.04,0)</f>
        <v>0</v>
      </c>
      <c r="M46" s="843"/>
      <c r="N46" s="843">
        <f>J46+L46</f>
        <v>0</v>
      </c>
      <c r="O46" s="843"/>
    </row>
    <row r="47" spans="4:15" ht="15">
      <c r="D47" s="852"/>
      <c r="E47" s="853" t="s">
        <v>416</v>
      </c>
      <c r="F47" s="854"/>
      <c r="G47" s="835" t="s">
        <v>516</v>
      </c>
      <c r="H47" s="836"/>
      <c r="I47" s="836"/>
      <c r="J47" s="850"/>
      <c r="K47" s="850"/>
      <c r="L47" s="850"/>
      <c r="M47" s="850"/>
      <c r="N47" s="850"/>
      <c r="O47" s="850"/>
    </row>
    <row r="48" spans="4:15" ht="27.75" customHeight="1">
      <c r="D48" s="852"/>
      <c r="E48" s="855"/>
      <c r="F48" s="856"/>
      <c r="G48" s="835"/>
      <c r="H48" s="837"/>
      <c r="I48" s="837"/>
      <c r="J48" s="843">
        <f>ROUND(J33*0.04,0)</f>
        <v>0</v>
      </c>
      <c r="K48" s="843"/>
      <c r="L48" s="843">
        <f>ROUND(L33*0.04,0)</f>
        <v>0</v>
      </c>
      <c r="M48" s="843"/>
      <c r="N48" s="843">
        <f>J48+L48</f>
        <v>0</v>
      </c>
      <c r="O48" s="843"/>
    </row>
    <row r="49" spans="4:15" ht="15">
      <c r="D49" s="852"/>
      <c r="E49" s="853" t="s">
        <v>417</v>
      </c>
      <c r="F49" s="854"/>
      <c r="G49" s="835" t="s">
        <v>517</v>
      </c>
      <c r="H49" s="836"/>
      <c r="I49" s="836"/>
      <c r="J49" s="850"/>
      <c r="K49" s="850"/>
      <c r="L49" s="850"/>
      <c r="M49" s="850"/>
      <c r="N49" s="850"/>
      <c r="O49" s="850"/>
    </row>
    <row r="50" spans="4:15" ht="27.75" customHeight="1">
      <c r="D50" s="852"/>
      <c r="E50" s="855"/>
      <c r="F50" s="856"/>
      <c r="G50" s="835"/>
      <c r="H50" s="837"/>
      <c r="I50" s="837"/>
      <c r="J50" s="843">
        <f>ROUND(J35*0.04,0)</f>
        <v>0</v>
      </c>
      <c r="K50" s="843"/>
      <c r="L50" s="843">
        <f>ROUND(L35*0.04,0)</f>
        <v>0</v>
      </c>
      <c r="M50" s="843"/>
      <c r="N50" s="843">
        <f>J50+L50</f>
        <v>0</v>
      </c>
      <c r="O50" s="843"/>
    </row>
    <row r="51" spans="4:15" ht="15">
      <c r="D51" s="852"/>
      <c r="E51" s="853" t="s">
        <v>418</v>
      </c>
      <c r="F51" s="854"/>
      <c r="G51" s="835" t="s">
        <v>518</v>
      </c>
      <c r="H51" s="836"/>
      <c r="I51" s="836"/>
      <c r="J51" s="850"/>
      <c r="K51" s="850"/>
      <c r="L51" s="850"/>
      <c r="M51" s="850"/>
      <c r="N51" s="850"/>
      <c r="O51" s="850"/>
    </row>
    <row r="52" spans="4:15" ht="26.25" customHeight="1">
      <c r="D52" s="852"/>
      <c r="E52" s="855"/>
      <c r="F52" s="856"/>
      <c r="G52" s="835"/>
      <c r="H52" s="837"/>
      <c r="I52" s="837"/>
      <c r="J52" s="843">
        <f>ROUND(J37*0.04,0)</f>
        <v>0</v>
      </c>
      <c r="K52" s="843"/>
      <c r="L52" s="843">
        <f>ROUND(L37*0.04,0)</f>
        <v>0</v>
      </c>
      <c r="M52" s="843"/>
      <c r="N52" s="843">
        <f>J52+L52</f>
        <v>0</v>
      </c>
      <c r="O52" s="843"/>
    </row>
    <row r="53" spans="4:15" ht="12.75" customHeight="1">
      <c r="D53" s="852"/>
      <c r="E53" s="853" t="s">
        <v>419</v>
      </c>
      <c r="F53" s="854"/>
      <c r="G53" s="835" t="s">
        <v>519</v>
      </c>
      <c r="H53" s="836"/>
      <c r="I53" s="836"/>
      <c r="J53" s="850"/>
      <c r="K53" s="850"/>
      <c r="L53" s="850"/>
      <c r="M53" s="850"/>
      <c r="N53" s="850"/>
      <c r="O53" s="850"/>
    </row>
    <row r="54" spans="4:15" ht="26.25" customHeight="1">
      <c r="D54" s="848"/>
      <c r="E54" s="855"/>
      <c r="F54" s="856"/>
      <c r="G54" s="835"/>
      <c r="H54" s="837"/>
      <c r="I54" s="837"/>
      <c r="J54" s="843">
        <f>ROUND(J39*0.04,0)</f>
        <v>0</v>
      </c>
      <c r="K54" s="843"/>
      <c r="L54" s="843">
        <f>ROUND(L39*0.04,0)</f>
        <v>0</v>
      </c>
      <c r="M54" s="843"/>
      <c r="N54" s="843">
        <f>J54+L54</f>
        <v>0</v>
      </c>
      <c r="O54" s="843"/>
    </row>
    <row r="55" ht="15" customHeight="1"/>
    <row r="56" ht="13.5" customHeight="1">
      <c r="D56" t="s">
        <v>383</v>
      </c>
    </row>
    <row r="57" ht="15" customHeight="1">
      <c r="D57" t="s">
        <v>384</v>
      </c>
    </row>
    <row r="58" spans="4:15" ht="28.5" customHeight="1">
      <c r="D58" s="835" t="s">
        <v>420</v>
      </c>
      <c r="E58" s="835"/>
      <c r="F58" s="835"/>
      <c r="G58" s="835"/>
      <c r="H58" s="638" t="s">
        <v>324</v>
      </c>
      <c r="I58" s="639"/>
      <c r="J58" s="638" t="s">
        <v>325</v>
      </c>
      <c r="K58" s="639"/>
      <c r="L58" s="638" t="s">
        <v>326</v>
      </c>
      <c r="M58" s="639"/>
      <c r="N58" s="831" t="s">
        <v>353</v>
      </c>
      <c r="O58" s="832"/>
    </row>
    <row r="59" spans="4:15" ht="13.5" customHeight="1">
      <c r="D59" s="851" t="s">
        <v>436</v>
      </c>
      <c r="E59" s="835"/>
      <c r="F59" s="835"/>
      <c r="G59" s="835" t="s">
        <v>520</v>
      </c>
      <c r="H59" s="845" t="s">
        <v>411</v>
      </c>
      <c r="I59" s="845"/>
      <c r="J59" s="845" t="s">
        <v>411</v>
      </c>
      <c r="K59" s="845"/>
      <c r="L59" s="845" t="s">
        <v>411</v>
      </c>
      <c r="M59" s="845"/>
      <c r="N59" s="845" t="s">
        <v>411</v>
      </c>
      <c r="O59" s="845"/>
    </row>
    <row r="60" spans="4:15" ht="44.25" customHeight="1">
      <c r="D60" s="835"/>
      <c r="E60" s="835"/>
      <c r="F60" s="835"/>
      <c r="G60" s="835"/>
      <c r="H60" s="837"/>
      <c r="I60" s="837"/>
      <c r="J60" s="843">
        <f>IF($I$1=2,IF(ISERROR(INT(J18*(J46*90%+J48*80%+J50*70%+J52*60%+J54*50%)/J44)),0,INT(J18*(J46*90%+J48*80%+J50*70%+J52*60%+J54*50%)/J44)),0)</f>
        <v>0</v>
      </c>
      <c r="K60" s="843"/>
      <c r="L60" s="843">
        <f>IF($I$1=2,IF(ISERROR(INT(L18*(L46*90%+L48*80%+L50*70%+L52*60%+L54*50%)/L44)),0,INT(L18*(L46*90%+L48*80%+L50*70%+L52*60%+L54*50%)/L44)),0)</f>
        <v>0</v>
      </c>
      <c r="M60" s="843"/>
      <c r="N60" s="843">
        <f>J60+L60</f>
        <v>0</v>
      </c>
      <c r="O60" s="843"/>
    </row>
    <row r="61" ht="15" customHeight="1"/>
    <row r="62" spans="4:10" ht="13.5" customHeight="1">
      <c r="D62" t="s">
        <v>385</v>
      </c>
      <c r="J62" s="409"/>
    </row>
    <row r="63" ht="15" customHeight="1">
      <c r="D63" t="s">
        <v>386</v>
      </c>
    </row>
    <row r="64" spans="4:15" ht="31.5" customHeight="1">
      <c r="D64" s="835" t="s">
        <v>420</v>
      </c>
      <c r="E64" s="835"/>
      <c r="F64" s="835"/>
      <c r="G64" s="835"/>
      <c r="H64" s="638" t="s">
        <v>324</v>
      </c>
      <c r="I64" s="639"/>
      <c r="J64" s="638" t="s">
        <v>325</v>
      </c>
      <c r="K64" s="639"/>
      <c r="L64" s="638" t="s">
        <v>326</v>
      </c>
      <c r="M64" s="639"/>
      <c r="N64" s="831" t="s">
        <v>353</v>
      </c>
      <c r="O64" s="832"/>
    </row>
    <row r="65" spans="4:15" ht="15" customHeight="1">
      <c r="D65" s="851" t="s">
        <v>421</v>
      </c>
      <c r="E65" s="835"/>
      <c r="F65" s="835"/>
      <c r="G65" s="835" t="s">
        <v>521</v>
      </c>
      <c r="H65" s="845" t="s">
        <v>411</v>
      </c>
      <c r="I65" s="845"/>
      <c r="J65" s="845" t="s">
        <v>411</v>
      </c>
      <c r="K65" s="845"/>
      <c r="L65" s="845" t="s">
        <v>411</v>
      </c>
      <c r="M65" s="845"/>
      <c r="N65" s="845" t="s">
        <v>411</v>
      </c>
      <c r="O65" s="845"/>
    </row>
    <row r="66" spans="4:15" ht="42.75" customHeight="1">
      <c r="D66" s="835"/>
      <c r="E66" s="835"/>
      <c r="F66" s="835"/>
      <c r="G66" s="835"/>
      <c r="H66" s="837"/>
      <c r="I66" s="837"/>
      <c r="J66" s="843">
        <f>IF(ISERROR(INT(J18*(IF(J46/J44&gt;=75%,90%,IF(J48/J44&gt;=75%,80%,IF(J50/J44&gt;=75%,70%,IF(J52/J44&gt;=75%,60%,IF(J54/J44&gt;=75%,50%,0)))))))),0,INT(J18*(IF(J46/J44&gt;=75%,90%,IF(J48/J44&gt;=75%,80%,IF(J50/J44&gt;=75%,70%,IF(J52/J44&gt;=75%,60%,IF(G54/J44&gt;=75%,50%,0))))))))*IF($I$1=2,1,0)</f>
        <v>0</v>
      </c>
      <c r="K66" s="843"/>
      <c r="L66" s="843">
        <f>IF(ISERROR(INT(L18*(IF(L46/L44&gt;=75%,90%,IF(L48/L44&gt;=75%,80%,IF(L50/L44&gt;=75%,70%,IF(L52/L44&gt;=75%,60%,IF(L54/L44&gt;=75%,50%,0)))))))),0,INT(L18*(IF(L46/L44&gt;=75%,90%,IF(L48/L44&gt;=75%,80%,IF(L50/L44&gt;=75%,70%,IF(L52/L44&gt;=75%,60%,IF(I54/L44&gt;=75%,50%,0))))))))*IF($I$1=2,1,0)</f>
        <v>0</v>
      </c>
      <c r="M66" s="843"/>
      <c r="N66" s="843">
        <f>J66+L66</f>
        <v>0</v>
      </c>
      <c r="O66" s="843"/>
    </row>
    <row r="67" ht="15" customHeight="1"/>
    <row r="68" ht="13.5" customHeight="1">
      <c r="D68" t="s">
        <v>387</v>
      </c>
    </row>
    <row r="69" spans="4:15" ht="31.5" customHeight="1">
      <c r="D69" s="835" t="s">
        <v>420</v>
      </c>
      <c r="E69" s="835"/>
      <c r="F69" s="835"/>
      <c r="G69" s="835"/>
      <c r="H69" s="638" t="s">
        <v>324</v>
      </c>
      <c r="I69" s="639"/>
      <c r="J69" s="638" t="s">
        <v>325</v>
      </c>
      <c r="K69" s="639"/>
      <c r="L69" s="638" t="s">
        <v>326</v>
      </c>
      <c r="M69" s="639"/>
      <c r="N69" s="831" t="s">
        <v>353</v>
      </c>
      <c r="O69" s="832"/>
    </row>
    <row r="70" spans="4:15" ht="13.5" customHeight="1">
      <c r="D70" s="851" t="s">
        <v>422</v>
      </c>
      <c r="E70" s="835"/>
      <c r="F70" s="858" t="s">
        <v>432</v>
      </c>
      <c r="G70" s="835" t="s">
        <v>522</v>
      </c>
      <c r="H70" s="845" t="s">
        <v>250</v>
      </c>
      <c r="I70" s="845"/>
      <c r="J70" s="845" t="s">
        <v>250</v>
      </c>
      <c r="K70" s="845"/>
      <c r="L70" s="845" t="s">
        <v>250</v>
      </c>
      <c r="M70" s="845"/>
      <c r="N70" s="845" t="s">
        <v>250</v>
      </c>
      <c r="O70" s="845"/>
    </row>
    <row r="71" spans="4:15" ht="27" customHeight="1">
      <c r="D71" s="835"/>
      <c r="E71" s="835"/>
      <c r="F71" s="858"/>
      <c r="G71" s="835"/>
      <c r="H71" s="842"/>
      <c r="I71" s="842"/>
      <c r="J71" s="849">
        <f>IF($I$1&gt;=2,IF(AND($J$31&gt;0,$J33&gt;0),IF((J31+J33)/J29&gt;=75%,INT(J18*(J46*90%+(J44-J46)*80%)/J44),0),0),0)</f>
        <v>0</v>
      </c>
      <c r="K71" s="859"/>
      <c r="L71" s="849">
        <f>IF($I$1&gt;=2,IF(AND($L$31&gt;0,$L33&gt;0),IF((L31+L33)/L29&gt;=75%,INT(L18*(L46*90%+(L44-L46)*80%)/L44),0),0),0)</f>
        <v>0</v>
      </c>
      <c r="M71" s="859"/>
      <c r="N71" s="849">
        <f>J71+L71</f>
        <v>0</v>
      </c>
      <c r="O71" s="859"/>
    </row>
    <row r="72" spans="4:15" ht="15">
      <c r="D72" s="851" t="s">
        <v>423</v>
      </c>
      <c r="E72" s="835"/>
      <c r="F72" s="858" t="s">
        <v>234</v>
      </c>
      <c r="G72" s="835" t="s">
        <v>523</v>
      </c>
      <c r="H72" s="860"/>
      <c r="I72" s="860"/>
      <c r="J72" s="861"/>
      <c r="K72" s="862"/>
      <c r="L72" s="861"/>
      <c r="M72" s="862"/>
      <c r="N72" s="861"/>
      <c r="O72" s="862"/>
    </row>
    <row r="73" spans="4:15" ht="27.75" customHeight="1">
      <c r="D73" s="835"/>
      <c r="E73" s="835"/>
      <c r="F73" s="858"/>
      <c r="G73" s="835"/>
      <c r="H73" s="842"/>
      <c r="I73" s="842"/>
      <c r="J73" s="849">
        <f>IF($I$1&gt;=2,IF(AND($J$31&gt;0,$J35&gt;0),IF((J31+J35)/J29&gt;=75%,INT(J18*(J46*90%+(J44-J46)*70%)/J44),0),0),0)</f>
        <v>0</v>
      </c>
      <c r="K73" s="859"/>
      <c r="L73" s="849">
        <f>IF($I$1&gt;=2,IF(AND($L$31&gt;0,$L35&gt;0),IF((L31+L35)/L29&gt;=75%,INT(L18*(L46*90%+(L44-L46)*70%)/L44),0),0),0)</f>
        <v>0</v>
      </c>
      <c r="M73" s="859"/>
      <c r="N73" s="849">
        <f>J73+L73</f>
        <v>0</v>
      </c>
      <c r="O73" s="859"/>
    </row>
    <row r="74" spans="4:15" ht="15">
      <c r="D74" s="851" t="s">
        <v>424</v>
      </c>
      <c r="E74" s="835"/>
      <c r="F74" s="858" t="s">
        <v>235</v>
      </c>
      <c r="G74" s="835" t="s">
        <v>524</v>
      </c>
      <c r="H74" s="860"/>
      <c r="I74" s="860"/>
      <c r="J74" s="861"/>
      <c r="K74" s="862"/>
      <c r="L74" s="861"/>
      <c r="M74" s="862"/>
      <c r="N74" s="861"/>
      <c r="O74" s="862"/>
    </row>
    <row r="75" spans="4:15" ht="29.25" customHeight="1">
      <c r="D75" s="835"/>
      <c r="E75" s="835"/>
      <c r="F75" s="858"/>
      <c r="G75" s="835"/>
      <c r="H75" s="842"/>
      <c r="I75" s="842"/>
      <c r="J75" s="849">
        <f>IF($I$1&gt;=2,IF(AND($J$31&gt;0,$J37&gt;0),IF((J31+J37)/J29&gt;=75%,INT(J18*(J46*90%+(J44-J46)*60%)/J44),0),0),0)</f>
        <v>0</v>
      </c>
      <c r="K75" s="859"/>
      <c r="L75" s="849">
        <f>IF($I$1&gt;=2,IF(AND($L$31&gt;0,$L37&gt;0),IF((L31+L37)/L29&gt;=75%,INT(L18*(L46*90%+(L44-L46)*60%)/L44),0),0),0)</f>
        <v>0</v>
      </c>
      <c r="M75" s="859"/>
      <c r="N75" s="849">
        <f>J75+L75</f>
        <v>0</v>
      </c>
      <c r="O75" s="859"/>
    </row>
    <row r="76" spans="4:15" ht="15">
      <c r="D76" s="851" t="s">
        <v>425</v>
      </c>
      <c r="E76" s="835"/>
      <c r="F76" s="858" t="s">
        <v>236</v>
      </c>
      <c r="G76" s="835" t="s">
        <v>525</v>
      </c>
      <c r="H76" s="860"/>
      <c r="I76" s="860"/>
      <c r="J76" s="861"/>
      <c r="K76" s="862"/>
      <c r="L76" s="861"/>
      <c r="M76" s="862"/>
      <c r="N76" s="861"/>
      <c r="O76" s="862"/>
    </row>
    <row r="77" spans="4:15" ht="28.5" customHeight="1">
      <c r="D77" s="835"/>
      <c r="E77" s="835"/>
      <c r="F77" s="858"/>
      <c r="G77" s="835"/>
      <c r="H77" s="842"/>
      <c r="I77" s="842"/>
      <c r="J77" s="849">
        <f>IF($I$1&gt;=2,IF(AND($J$31&gt;0,$J39&gt;0),IF((J31+J39)/J29&gt;=75%,INT(J18*(J46*90%+(J44-J46)*50%)/J44),0),0),0)</f>
        <v>0</v>
      </c>
      <c r="K77" s="859"/>
      <c r="L77" s="849">
        <f>IF($I$1&gt;=2,IF(AND($L$31&gt;0,$L39&gt;0),IF((L31+L39)/L29&gt;=75%,INT(L18*(L46*90%+(L44-L46)*50%)/L44),0),0),0)</f>
        <v>0</v>
      </c>
      <c r="M77" s="859"/>
      <c r="N77" s="849">
        <f>J77+L77</f>
        <v>0</v>
      </c>
      <c r="O77" s="859"/>
    </row>
    <row r="78" spans="4:15" ht="15">
      <c r="D78" s="851" t="s">
        <v>426</v>
      </c>
      <c r="E78" s="835"/>
      <c r="F78" s="858" t="s">
        <v>237</v>
      </c>
      <c r="G78" s="835" t="s">
        <v>526</v>
      </c>
      <c r="H78" s="860"/>
      <c r="I78" s="860"/>
      <c r="J78" s="861"/>
      <c r="K78" s="862"/>
      <c r="L78" s="861"/>
      <c r="M78" s="862"/>
      <c r="N78" s="861"/>
      <c r="O78" s="862"/>
    </row>
    <row r="79" spans="4:15" ht="30" customHeight="1">
      <c r="D79" s="835"/>
      <c r="E79" s="835"/>
      <c r="F79" s="858"/>
      <c r="G79" s="835"/>
      <c r="H79" s="842"/>
      <c r="I79" s="842"/>
      <c r="J79" s="849">
        <f>IF($I$1&gt;=2,IF(AND($J$33&gt;0,$J35&gt;0),IF((J33+J35)/J29&gt;=75%,INT(J18*(J48*80%+(J44-J48)*70%)/J44),0),0),0)</f>
        <v>0</v>
      </c>
      <c r="K79" s="859"/>
      <c r="L79" s="849">
        <f>IF($I$1&gt;=2,IF(AND($L$33&gt;0,$L35&gt;0),IF((L33+L35)/L29&gt;=75%,INT(L18*(L48*80%+(L44-L48)*70%)/L44),0),0),0)</f>
        <v>0</v>
      </c>
      <c r="M79" s="859"/>
      <c r="N79" s="849">
        <f>J79+L79</f>
        <v>0</v>
      </c>
      <c r="O79" s="859"/>
    </row>
    <row r="80" spans="4:15" ht="15">
      <c r="D80" s="851" t="s">
        <v>427</v>
      </c>
      <c r="E80" s="835"/>
      <c r="F80" s="858" t="s">
        <v>238</v>
      </c>
      <c r="G80" s="835" t="s">
        <v>527</v>
      </c>
      <c r="H80" s="860"/>
      <c r="I80" s="860"/>
      <c r="J80" s="861"/>
      <c r="K80" s="862"/>
      <c r="L80" s="861"/>
      <c r="M80" s="862"/>
      <c r="N80" s="861"/>
      <c r="O80" s="862"/>
    </row>
    <row r="81" spans="4:15" ht="28.5" customHeight="1">
      <c r="D81" s="835"/>
      <c r="E81" s="835"/>
      <c r="F81" s="858"/>
      <c r="G81" s="835"/>
      <c r="H81" s="842"/>
      <c r="I81" s="842"/>
      <c r="J81" s="849">
        <f>IF($I$1&gt;=2,IF(AND($J$33&gt;0,$J37&gt;0),IF((J33+J37)/J29&gt;=75%,INT(J18*(J48*80%+(J44-J48)*60%)/J44),0),0),0)</f>
        <v>0</v>
      </c>
      <c r="K81" s="859"/>
      <c r="L81" s="849">
        <f>IF($I$1&gt;=2,IF(AND($L$33&gt;0,$L37&gt;0),IF((L33+L37)/L29&gt;=75%,INT(L18*(L48*80%+(L44-L48)*60%)/L44),0),0),0)</f>
        <v>0</v>
      </c>
      <c r="M81" s="859"/>
      <c r="N81" s="849">
        <f>J81+L81</f>
        <v>0</v>
      </c>
      <c r="O81" s="859"/>
    </row>
    <row r="82" spans="4:15" ht="15">
      <c r="D82" s="851" t="s">
        <v>428</v>
      </c>
      <c r="E82" s="835"/>
      <c r="F82" s="858" t="s">
        <v>0</v>
      </c>
      <c r="G82" s="835" t="s">
        <v>528</v>
      </c>
      <c r="H82" s="860"/>
      <c r="I82" s="860"/>
      <c r="J82" s="861"/>
      <c r="K82" s="862"/>
      <c r="L82" s="861"/>
      <c r="M82" s="862"/>
      <c r="N82" s="861"/>
      <c r="O82" s="862"/>
    </row>
    <row r="83" spans="4:15" ht="29.25" customHeight="1">
      <c r="D83" s="835"/>
      <c r="E83" s="835"/>
      <c r="F83" s="858"/>
      <c r="G83" s="835"/>
      <c r="H83" s="842"/>
      <c r="I83" s="842"/>
      <c r="J83" s="849">
        <f>IF($I$1&gt;=2,IF(AND($J$33&gt;0,$J39&gt;0),IF((J35+J39)/J29&gt;=75%,INT(J18*(J50*80%+(J46-J50)*60%)/J44),0),0),0)</f>
        <v>0</v>
      </c>
      <c r="K83" s="859"/>
      <c r="L83" s="849">
        <f>IF($I$1&gt;=2,IF(AND($L$33&gt;0,$L39&gt;0),IF((L35+L39)/L29&gt;=75%,INT(L18*(L50*80%+(L46-L50)*60%)/L44),0),0),0)</f>
        <v>0</v>
      </c>
      <c r="M83" s="859"/>
      <c r="N83" s="849">
        <f>J83+L83</f>
        <v>0</v>
      </c>
      <c r="O83" s="859"/>
    </row>
    <row r="84" spans="4:15" ht="15">
      <c r="D84" s="851" t="s">
        <v>429</v>
      </c>
      <c r="E84" s="835"/>
      <c r="F84" s="858" t="s">
        <v>1</v>
      </c>
      <c r="G84" s="835" t="s">
        <v>529</v>
      </c>
      <c r="H84" s="860"/>
      <c r="I84" s="860"/>
      <c r="J84" s="861"/>
      <c r="K84" s="862"/>
      <c r="L84" s="861"/>
      <c r="M84" s="862"/>
      <c r="N84" s="861"/>
      <c r="O84" s="862"/>
    </row>
    <row r="85" spans="4:15" ht="29.25" customHeight="1">
      <c r="D85" s="835"/>
      <c r="E85" s="835"/>
      <c r="F85" s="858"/>
      <c r="G85" s="835"/>
      <c r="H85" s="842"/>
      <c r="I85" s="842"/>
      <c r="J85" s="849">
        <f>IF($I$1&gt;=2,IF(AND($J$35&gt;0,$J37&gt;0),IF((J35+J37)/J29&gt;=75%,INT(J18*(J50*70%+(J44-J50)*60%)/J44),0),0),0)</f>
        <v>0</v>
      </c>
      <c r="K85" s="859"/>
      <c r="L85" s="849">
        <f>IF($I$1&gt;=2,IF(AND($L$35&gt;0,$L37&gt;0),IF((L35+L37)/L29&gt;=75%,INT(L18*(L50*70%+(L44-L50)*60%)/L44),0),0),0)</f>
        <v>0</v>
      </c>
      <c r="M85" s="859"/>
      <c r="N85" s="849">
        <f>J85+L85</f>
        <v>0</v>
      </c>
      <c r="O85" s="859"/>
    </row>
    <row r="86" spans="4:15" ht="15">
      <c r="D86" s="851" t="s">
        <v>430</v>
      </c>
      <c r="E86" s="835"/>
      <c r="F86" s="858" t="s">
        <v>2</v>
      </c>
      <c r="G86" s="835" t="s">
        <v>530</v>
      </c>
      <c r="H86" s="860"/>
      <c r="I86" s="860"/>
      <c r="J86" s="861"/>
      <c r="K86" s="862"/>
      <c r="L86" s="861"/>
      <c r="M86" s="862"/>
      <c r="N86" s="861"/>
      <c r="O86" s="862"/>
    </row>
    <row r="87" spans="4:15" ht="30" customHeight="1">
      <c r="D87" s="835"/>
      <c r="E87" s="835"/>
      <c r="F87" s="858"/>
      <c r="G87" s="835"/>
      <c r="H87" s="842"/>
      <c r="I87" s="842"/>
      <c r="J87" s="849">
        <f>IF($I$1&gt;=2,IF(AND($J$35&gt;0,$J39&gt;0),IF((J35+J39)/J29&gt;=75%,INT(J18*(J50*70%+(J44-J50)*50%)/J44),0),0),0)</f>
        <v>0</v>
      </c>
      <c r="K87" s="859"/>
      <c r="L87" s="849">
        <f>IF($I$1&gt;=2,IF(AND($L$35&gt;0,$L39&gt;0),IF((L35+L39)/L29&gt;=75%,INT(L18*(L50*70%+(L44-L50)*50%)/L44),0),0),0)</f>
        <v>0</v>
      </c>
      <c r="M87" s="859"/>
      <c r="N87" s="849">
        <f>J87+L87</f>
        <v>0</v>
      </c>
      <c r="O87" s="859"/>
    </row>
    <row r="88" spans="4:15" ht="18.75" customHeight="1">
      <c r="D88" s="851" t="s">
        <v>431</v>
      </c>
      <c r="E88" s="835"/>
      <c r="F88" s="858" t="s">
        <v>3</v>
      </c>
      <c r="G88" s="835" t="s">
        <v>531</v>
      </c>
      <c r="H88" s="860"/>
      <c r="I88" s="860"/>
      <c r="J88" s="861"/>
      <c r="K88" s="862"/>
      <c r="L88" s="861"/>
      <c r="M88" s="862"/>
      <c r="N88" s="861"/>
      <c r="O88" s="862"/>
    </row>
    <row r="89" spans="4:15" ht="30" customHeight="1">
      <c r="D89" s="835"/>
      <c r="E89" s="835"/>
      <c r="F89" s="858"/>
      <c r="G89" s="835"/>
      <c r="H89" s="842"/>
      <c r="I89" s="842"/>
      <c r="J89" s="849">
        <f>IF($I$1&gt;=2,IF(AND($J$37&gt;0,$J39&gt;0),IF((J37+J39)/J29&gt;=75%,INT(J18*(J52*60%+(J44-J52)*50%)/J44),0),0),0)</f>
        <v>0</v>
      </c>
      <c r="K89" s="859"/>
      <c r="L89" s="849">
        <f>IF($I$1&gt;=2,IF(AND($L$37&gt;0,$L39&gt;0),IF((L37+L39)/L29&gt;=75%,INT(L18*(L52*60%+(L44-L52)*50%)/L44),0),0),0)</f>
        <v>0</v>
      </c>
      <c r="M89" s="859"/>
      <c r="N89" s="849">
        <f>J89+L89</f>
        <v>0</v>
      </c>
      <c r="O89" s="859"/>
    </row>
    <row r="91" ht="13.5">
      <c r="D91" t="s">
        <v>433</v>
      </c>
    </row>
    <row r="92" spans="4:15" ht="34.5" customHeight="1">
      <c r="D92" s="835" t="s">
        <v>138</v>
      </c>
      <c r="E92" s="835"/>
      <c r="F92" s="835"/>
      <c r="G92" s="835"/>
      <c r="H92" s="638" t="s">
        <v>324</v>
      </c>
      <c r="I92" s="639"/>
      <c r="J92" s="638" t="s">
        <v>325</v>
      </c>
      <c r="K92" s="639"/>
      <c r="L92" s="638" t="s">
        <v>326</v>
      </c>
      <c r="M92" s="639"/>
      <c r="N92" s="831" t="s">
        <v>353</v>
      </c>
      <c r="O92" s="832"/>
    </row>
    <row r="93" spans="4:15" ht="13.5">
      <c r="D93" s="863" t="s">
        <v>434</v>
      </c>
      <c r="E93" s="864"/>
      <c r="F93" s="864"/>
      <c r="G93" s="835" t="s">
        <v>532</v>
      </c>
      <c r="H93" s="828" t="s">
        <v>435</v>
      </c>
      <c r="I93" s="828"/>
      <c r="J93" s="828" t="s">
        <v>407</v>
      </c>
      <c r="K93" s="828"/>
      <c r="L93" s="828" t="s">
        <v>408</v>
      </c>
      <c r="M93" s="828"/>
      <c r="N93" s="828" t="s">
        <v>409</v>
      </c>
      <c r="O93" s="828"/>
    </row>
    <row r="94" spans="4:15" ht="30" customHeight="1">
      <c r="D94" s="864"/>
      <c r="E94" s="864"/>
      <c r="F94" s="864"/>
      <c r="G94" s="835"/>
      <c r="H94" s="837"/>
      <c r="I94" s="837"/>
      <c r="J94" s="843">
        <f>MAX(J60,J66,J71:K89)</f>
        <v>0</v>
      </c>
      <c r="K94" s="843"/>
      <c r="L94" s="843">
        <f>MAX(L60,L66,L71:M89)</f>
        <v>0</v>
      </c>
      <c r="M94" s="843"/>
      <c r="N94" s="843">
        <f>J94+L94</f>
        <v>0</v>
      </c>
      <c r="O94" s="843"/>
    </row>
  </sheetData>
  <sheetProtection/>
  <mergeCells count="345">
    <mergeCell ref="D80:E81"/>
    <mergeCell ref="F80:F81"/>
    <mergeCell ref="G80:G81"/>
    <mergeCell ref="H72:I72"/>
    <mergeCell ref="D69:G69"/>
    <mergeCell ref="H69:I69"/>
    <mergeCell ref="D76:E77"/>
    <mergeCell ref="F76:F77"/>
    <mergeCell ref="G76:G77"/>
    <mergeCell ref="F1:H1"/>
    <mergeCell ref="D78:E79"/>
    <mergeCell ref="F78:F79"/>
    <mergeCell ref="G78:G79"/>
    <mergeCell ref="D72:E73"/>
    <mergeCell ref="F72:F73"/>
    <mergeCell ref="G72:G73"/>
    <mergeCell ref="D74:E75"/>
    <mergeCell ref="F74:F75"/>
    <mergeCell ref="G74:G75"/>
    <mergeCell ref="G53:G54"/>
    <mergeCell ref="H53:I53"/>
    <mergeCell ref="D42:G42"/>
    <mergeCell ref="D93:F94"/>
    <mergeCell ref="G93:G94"/>
    <mergeCell ref="D88:E89"/>
    <mergeCell ref="F88:F89"/>
    <mergeCell ref="G88:G89"/>
    <mergeCell ref="F82:F83"/>
    <mergeCell ref="D82:E83"/>
    <mergeCell ref="G82:G83"/>
    <mergeCell ref="D84:E85"/>
    <mergeCell ref="F84:F85"/>
    <mergeCell ref="G84:G85"/>
    <mergeCell ref="D86:E87"/>
    <mergeCell ref="F86:F87"/>
    <mergeCell ref="G86:G87"/>
    <mergeCell ref="D92:G92"/>
    <mergeCell ref="L85:M85"/>
    <mergeCell ref="N85:O85"/>
    <mergeCell ref="H86:I86"/>
    <mergeCell ref="J86:K86"/>
    <mergeCell ref="L93:M93"/>
    <mergeCell ref="N93:O93"/>
    <mergeCell ref="N89:O89"/>
    <mergeCell ref="H92:I92"/>
    <mergeCell ref="J92:K92"/>
    <mergeCell ref="H94:I94"/>
    <mergeCell ref="J94:K94"/>
    <mergeCell ref="L94:M94"/>
    <mergeCell ref="N94:O94"/>
    <mergeCell ref="H88:I88"/>
    <mergeCell ref="J88:K88"/>
    <mergeCell ref="L88:M88"/>
    <mergeCell ref="N88:O88"/>
    <mergeCell ref="H89:I89"/>
    <mergeCell ref="L89:M89"/>
    <mergeCell ref="L92:M92"/>
    <mergeCell ref="N92:O92"/>
    <mergeCell ref="H93:I93"/>
    <mergeCell ref="J93:K93"/>
    <mergeCell ref="N80:O80"/>
    <mergeCell ref="H81:I81"/>
    <mergeCell ref="J89:K89"/>
    <mergeCell ref="L81:M81"/>
    <mergeCell ref="N81:O81"/>
    <mergeCell ref="H82:I82"/>
    <mergeCell ref="J87:K87"/>
    <mergeCell ref="L86:M86"/>
    <mergeCell ref="N86:O86"/>
    <mergeCell ref="H87:I87"/>
    <mergeCell ref="L87:M87"/>
    <mergeCell ref="N87:O87"/>
    <mergeCell ref="H84:I84"/>
    <mergeCell ref="J84:K84"/>
    <mergeCell ref="L84:M84"/>
    <mergeCell ref="N84:O84"/>
    <mergeCell ref="J82:K82"/>
    <mergeCell ref="L82:M82"/>
    <mergeCell ref="N82:O82"/>
    <mergeCell ref="H85:I85"/>
    <mergeCell ref="L78:M78"/>
    <mergeCell ref="N78:O78"/>
    <mergeCell ref="H79:I79"/>
    <mergeCell ref="J85:K85"/>
    <mergeCell ref="L79:M79"/>
    <mergeCell ref="N79:O79"/>
    <mergeCell ref="J81:K81"/>
    <mergeCell ref="H83:I83"/>
    <mergeCell ref="L83:M83"/>
    <mergeCell ref="H75:I75"/>
    <mergeCell ref="J77:K77"/>
    <mergeCell ref="L75:M75"/>
    <mergeCell ref="N75:O75"/>
    <mergeCell ref="H76:I76"/>
    <mergeCell ref="J79:K79"/>
    <mergeCell ref="L76:M76"/>
    <mergeCell ref="N76:O76"/>
    <mergeCell ref="H77:I77"/>
    <mergeCell ref="L77:M77"/>
    <mergeCell ref="N77:O77"/>
    <mergeCell ref="H78:I78"/>
    <mergeCell ref="J83:K83"/>
    <mergeCell ref="J78:K78"/>
    <mergeCell ref="J76:K76"/>
    <mergeCell ref="J80:K80"/>
    <mergeCell ref="L80:M80"/>
    <mergeCell ref="N83:O83"/>
    <mergeCell ref="H80:I80"/>
    <mergeCell ref="J72:K72"/>
    <mergeCell ref="L72:M72"/>
    <mergeCell ref="N72:O72"/>
    <mergeCell ref="H73:I73"/>
    <mergeCell ref="J73:K73"/>
    <mergeCell ref="L73:M73"/>
    <mergeCell ref="N73:O73"/>
    <mergeCell ref="H74:I74"/>
    <mergeCell ref="J75:K75"/>
    <mergeCell ref="L74:M74"/>
    <mergeCell ref="N74:O74"/>
    <mergeCell ref="J74:K74"/>
    <mergeCell ref="J69:K69"/>
    <mergeCell ref="L69:M69"/>
    <mergeCell ref="N69:O69"/>
    <mergeCell ref="N70:O70"/>
    <mergeCell ref="N71:O71"/>
    <mergeCell ref="D70:E71"/>
    <mergeCell ref="F70:F71"/>
    <mergeCell ref="G70:G71"/>
    <mergeCell ref="H70:I70"/>
    <mergeCell ref="J70:K70"/>
    <mergeCell ref="L70:M70"/>
    <mergeCell ref="H71:I71"/>
    <mergeCell ref="J71:K71"/>
    <mergeCell ref="L71:M71"/>
    <mergeCell ref="L53:M53"/>
    <mergeCell ref="E30:F31"/>
    <mergeCell ref="E32:F33"/>
    <mergeCell ref="E34:F35"/>
    <mergeCell ref="E36:F37"/>
    <mergeCell ref="H36:I36"/>
    <mergeCell ref="H37:I37"/>
    <mergeCell ref="J37:K37"/>
    <mergeCell ref="L37:M37"/>
    <mergeCell ref="E53:F54"/>
    <mergeCell ref="G38:G39"/>
    <mergeCell ref="H38:I38"/>
    <mergeCell ref="H31:I31"/>
    <mergeCell ref="J31:K31"/>
    <mergeCell ref="L31:M31"/>
    <mergeCell ref="J39:K39"/>
    <mergeCell ref="L39:M39"/>
    <mergeCell ref="J35:K35"/>
    <mergeCell ref="L35:M35"/>
    <mergeCell ref="E45:F46"/>
    <mergeCell ref="E47:F48"/>
    <mergeCell ref="E49:F50"/>
    <mergeCell ref="E51:F52"/>
    <mergeCell ref="H35:I35"/>
    <mergeCell ref="G47:G48"/>
    <mergeCell ref="H47:I47"/>
    <mergeCell ref="G51:G52"/>
    <mergeCell ref="H52:I52"/>
    <mergeCell ref="G45:G46"/>
    <mergeCell ref="N53:O53"/>
    <mergeCell ref="H54:I54"/>
    <mergeCell ref="J54:K54"/>
    <mergeCell ref="L54:M54"/>
    <mergeCell ref="N54:O54"/>
    <mergeCell ref="H51:I51"/>
    <mergeCell ref="J51:K51"/>
    <mergeCell ref="L51:M51"/>
    <mergeCell ref="N51:O51"/>
    <mergeCell ref="J53:K53"/>
    <mergeCell ref="D45:D54"/>
    <mergeCell ref="N65:O65"/>
    <mergeCell ref="H66:I66"/>
    <mergeCell ref="J66:K66"/>
    <mergeCell ref="L66:M66"/>
    <mergeCell ref="N66:O66"/>
    <mergeCell ref="D64:G64"/>
    <mergeCell ref="H64:I64"/>
    <mergeCell ref="J64:K64"/>
    <mergeCell ref="L64:M64"/>
    <mergeCell ref="N64:O64"/>
    <mergeCell ref="D65:F66"/>
    <mergeCell ref="G65:G66"/>
    <mergeCell ref="H65:I65"/>
    <mergeCell ref="J65:K65"/>
    <mergeCell ref="L65:M65"/>
    <mergeCell ref="N59:O59"/>
    <mergeCell ref="H60:I60"/>
    <mergeCell ref="J60:K60"/>
    <mergeCell ref="L60:M60"/>
    <mergeCell ref="N60:O60"/>
    <mergeCell ref="D58:G58"/>
    <mergeCell ref="H58:I58"/>
    <mergeCell ref="J58:K58"/>
    <mergeCell ref="L58:M58"/>
    <mergeCell ref="N58:O58"/>
    <mergeCell ref="D59:F60"/>
    <mergeCell ref="G59:G60"/>
    <mergeCell ref="H59:I59"/>
    <mergeCell ref="J59:K59"/>
    <mergeCell ref="L59:M59"/>
    <mergeCell ref="N49:O49"/>
    <mergeCell ref="H50:I50"/>
    <mergeCell ref="J50:K50"/>
    <mergeCell ref="L50:M50"/>
    <mergeCell ref="N50:O50"/>
    <mergeCell ref="J52:K52"/>
    <mergeCell ref="L52:M52"/>
    <mergeCell ref="N52:O52"/>
    <mergeCell ref="G49:G50"/>
    <mergeCell ref="H49:I49"/>
    <mergeCell ref="J49:K49"/>
    <mergeCell ref="L49:M49"/>
    <mergeCell ref="L47:M47"/>
    <mergeCell ref="N47:O47"/>
    <mergeCell ref="H48:I48"/>
    <mergeCell ref="J48:K48"/>
    <mergeCell ref="L48:M48"/>
    <mergeCell ref="N48:O48"/>
    <mergeCell ref="J47:K47"/>
    <mergeCell ref="H45:I45"/>
    <mergeCell ref="J45:K45"/>
    <mergeCell ref="L45:M45"/>
    <mergeCell ref="N45:O45"/>
    <mergeCell ref="H46:I46"/>
    <mergeCell ref="J46:K46"/>
    <mergeCell ref="L46:M46"/>
    <mergeCell ref="N46:O46"/>
    <mergeCell ref="N43:O43"/>
    <mergeCell ref="H44:I44"/>
    <mergeCell ref="J44:K44"/>
    <mergeCell ref="L44:M44"/>
    <mergeCell ref="N44:O44"/>
    <mergeCell ref="H42:I42"/>
    <mergeCell ref="J42:K42"/>
    <mergeCell ref="L42:M42"/>
    <mergeCell ref="N42:O42"/>
    <mergeCell ref="J43:K43"/>
    <mergeCell ref="G30:G31"/>
    <mergeCell ref="H30:I30"/>
    <mergeCell ref="J30:K30"/>
    <mergeCell ref="L30:M30"/>
    <mergeCell ref="D43:F44"/>
    <mergeCell ref="G43:G44"/>
    <mergeCell ref="G32:G33"/>
    <mergeCell ref="G34:G35"/>
    <mergeCell ref="G36:G37"/>
    <mergeCell ref="E38:F39"/>
    <mergeCell ref="J38:K38"/>
    <mergeCell ref="L38:M38"/>
    <mergeCell ref="H39:I39"/>
    <mergeCell ref="D30:D39"/>
    <mergeCell ref="H32:I32"/>
    <mergeCell ref="J32:K32"/>
    <mergeCell ref="L32:M32"/>
    <mergeCell ref="H33:I33"/>
    <mergeCell ref="J33:K33"/>
    <mergeCell ref="J36:K36"/>
    <mergeCell ref="O28:O29"/>
    <mergeCell ref="L33:M33"/>
    <mergeCell ref="H34:I34"/>
    <mergeCell ref="H43:I43"/>
    <mergeCell ref="J34:K34"/>
    <mergeCell ref="D27:G27"/>
    <mergeCell ref="H27:I27"/>
    <mergeCell ref="J27:K27"/>
    <mergeCell ref="L27:M27"/>
    <mergeCell ref="L43:M43"/>
    <mergeCell ref="D28:F29"/>
    <mergeCell ref="G28:G29"/>
    <mergeCell ref="H28:I28"/>
    <mergeCell ref="J28:K28"/>
    <mergeCell ref="L28:M28"/>
    <mergeCell ref="H29:I29"/>
    <mergeCell ref="J29:K29"/>
    <mergeCell ref="L29:M29"/>
    <mergeCell ref="N22:O22"/>
    <mergeCell ref="H23:I23"/>
    <mergeCell ref="J23:K23"/>
    <mergeCell ref="L23:M23"/>
    <mergeCell ref="N23:O23"/>
    <mergeCell ref="N27:O27"/>
    <mergeCell ref="D21:G21"/>
    <mergeCell ref="H21:I21"/>
    <mergeCell ref="J21:K21"/>
    <mergeCell ref="L21:M21"/>
    <mergeCell ref="N21:O21"/>
    <mergeCell ref="D22:F23"/>
    <mergeCell ref="G22:G23"/>
    <mergeCell ref="H22:I22"/>
    <mergeCell ref="J22:K22"/>
    <mergeCell ref="L22:M22"/>
    <mergeCell ref="L14:M14"/>
    <mergeCell ref="N14:O14"/>
    <mergeCell ref="H15:I15"/>
    <mergeCell ref="J15:K15"/>
    <mergeCell ref="H18:I18"/>
    <mergeCell ref="J18:K18"/>
    <mergeCell ref="L18:M18"/>
    <mergeCell ref="N18:O18"/>
    <mergeCell ref="L15:M15"/>
    <mergeCell ref="N15:O15"/>
    <mergeCell ref="L12:M12"/>
    <mergeCell ref="N12:O12"/>
    <mergeCell ref="H13:I13"/>
    <mergeCell ref="J13:K13"/>
    <mergeCell ref="L13:M13"/>
    <mergeCell ref="N13:O13"/>
    <mergeCell ref="H14:I14"/>
    <mergeCell ref="J14:K14"/>
    <mergeCell ref="H16:I16"/>
    <mergeCell ref="J16:K16"/>
    <mergeCell ref="L16:M16"/>
    <mergeCell ref="N16:O16"/>
    <mergeCell ref="L34:M34"/>
    <mergeCell ref="L36:M36"/>
    <mergeCell ref="H17:I17"/>
    <mergeCell ref="J17:K17"/>
    <mergeCell ref="L17:M17"/>
    <mergeCell ref="N17:O17"/>
    <mergeCell ref="N4:N5"/>
    <mergeCell ref="D10:G10"/>
    <mergeCell ref="D11:F12"/>
    <mergeCell ref="D13:F14"/>
    <mergeCell ref="D15:F16"/>
    <mergeCell ref="D17:F18"/>
    <mergeCell ref="G11:G12"/>
    <mergeCell ref="G13:G14"/>
    <mergeCell ref="G15:G16"/>
    <mergeCell ref="G17:G18"/>
    <mergeCell ref="N10:O10"/>
    <mergeCell ref="L10:M10"/>
    <mergeCell ref="J10:K10"/>
    <mergeCell ref="H10:I10"/>
    <mergeCell ref="I7:K7"/>
    <mergeCell ref="M7:O7"/>
    <mergeCell ref="H11:I11"/>
    <mergeCell ref="J11:K11"/>
    <mergeCell ref="L11:M11"/>
    <mergeCell ref="N11:O11"/>
    <mergeCell ref="H12:I12"/>
    <mergeCell ref="J12:K12"/>
  </mergeCells>
  <printOptions/>
  <pageMargins left="0.35" right="0.31" top="0.78" bottom="0.51" header="0.3" footer="0.3"/>
  <pageSetup orientation="portrait" paperSize="9" scale="60" r:id="rId2"/>
  <drawing r:id="rId1"/>
</worksheet>
</file>

<file path=xl/worksheets/sheet13.xml><?xml version="1.0" encoding="utf-8"?>
<worksheet xmlns="http://schemas.openxmlformats.org/spreadsheetml/2006/main" xmlns:r="http://schemas.openxmlformats.org/officeDocument/2006/relationships">
  <sheetPr codeName="Sheet4">
    <tabColor rgb="FF92D050"/>
  </sheetPr>
  <dimension ref="B3:L40"/>
  <sheetViews>
    <sheetView zoomScale="80" zoomScaleNormal="80" zoomScalePageLayoutView="0" workbookViewId="0" topLeftCell="A1">
      <selection activeCell="A1" sqref="A1"/>
    </sheetView>
  </sheetViews>
  <sheetFormatPr defaultColWidth="9.00390625" defaultRowHeight="13.5"/>
  <cols>
    <col min="1" max="1" width="2.125" style="0" customWidth="1"/>
    <col min="2" max="2" width="8.00390625" style="0" customWidth="1"/>
    <col min="3" max="3" width="27.00390625" style="0" customWidth="1"/>
    <col min="4" max="4" width="2.50390625" style="0" customWidth="1"/>
    <col min="5" max="5" width="10.75390625" style="0" customWidth="1"/>
    <col min="6" max="6" width="12.375" style="0" customWidth="1"/>
    <col min="7" max="7" width="10.75390625" style="0" customWidth="1"/>
    <col min="8" max="8" width="12.00390625" style="0" customWidth="1"/>
    <col min="9" max="9" width="13.875" style="0" customWidth="1"/>
    <col min="10" max="10" width="8.625" style="0" customWidth="1"/>
    <col min="11" max="11" width="22.875" style="0" customWidth="1"/>
    <col min="12" max="12" width="7.00390625" style="0" customWidth="1"/>
  </cols>
  <sheetData>
    <row r="1" ht="27.75" customHeight="1"/>
    <row r="2" ht="13.5" hidden="1"/>
    <row r="3" ht="13.5">
      <c r="B3" t="s">
        <v>437</v>
      </c>
    </row>
    <row r="4" spans="3:12" ht="13.5">
      <c r="C4" t="s">
        <v>443</v>
      </c>
      <c r="H4" t="s">
        <v>438</v>
      </c>
      <c r="L4" s="836" t="s">
        <v>374</v>
      </c>
    </row>
    <row r="5" spans="3:12" ht="13.5">
      <c r="C5" t="s">
        <v>444</v>
      </c>
      <c r="H5" t="s">
        <v>439</v>
      </c>
      <c r="L5" s="837"/>
    </row>
    <row r="7" spans="5:12" ht="28.5" customHeight="1">
      <c r="E7" s="351" t="s">
        <v>287</v>
      </c>
      <c r="F7" s="833" t="s">
        <v>388</v>
      </c>
      <c r="G7" s="834"/>
      <c r="H7" s="834"/>
      <c r="I7" s="352" t="s">
        <v>249</v>
      </c>
      <c r="J7" s="835"/>
      <c r="K7" s="835"/>
      <c r="L7" s="835"/>
    </row>
    <row r="8" spans="2:12" ht="28.5" customHeight="1">
      <c r="B8" s="838" t="s">
        <v>138</v>
      </c>
      <c r="C8" s="839"/>
      <c r="D8" s="832"/>
      <c r="E8" s="638" t="s">
        <v>324</v>
      </c>
      <c r="F8" s="639"/>
      <c r="G8" s="638" t="s">
        <v>325</v>
      </c>
      <c r="H8" s="639"/>
      <c r="I8" s="638" t="s">
        <v>326</v>
      </c>
      <c r="J8" s="639"/>
      <c r="K8" s="831" t="s">
        <v>353</v>
      </c>
      <c r="L8" s="832"/>
    </row>
    <row r="9" spans="2:12" ht="13.5">
      <c r="B9" s="840" t="s">
        <v>440</v>
      </c>
      <c r="C9" s="841"/>
      <c r="D9" s="835" t="s">
        <v>401</v>
      </c>
      <c r="E9" s="845" t="s">
        <v>445</v>
      </c>
      <c r="F9" s="845"/>
      <c r="G9" s="845" t="s">
        <v>445</v>
      </c>
      <c r="H9" s="845"/>
      <c r="I9" s="845" t="s">
        <v>445</v>
      </c>
      <c r="J9" s="845"/>
      <c r="K9" s="828" t="s">
        <v>554</v>
      </c>
      <c r="L9" s="828"/>
    </row>
    <row r="10" spans="2:12" ht="29.25" customHeight="1">
      <c r="B10" s="841"/>
      <c r="C10" s="841"/>
      <c r="D10" s="835"/>
      <c r="E10" s="873"/>
      <c r="F10" s="873"/>
      <c r="G10" s="829">
        <f>INT('売上仕入計算'!E19/1000)*1000</f>
        <v>0</v>
      </c>
      <c r="H10" s="829"/>
      <c r="I10" s="829">
        <f>INT('売上仕入計算'!E20/1000)*1000</f>
        <v>0</v>
      </c>
      <c r="J10" s="829"/>
      <c r="K10" s="829">
        <f>G10+I10</f>
        <v>0</v>
      </c>
      <c r="L10" s="829"/>
    </row>
    <row r="11" spans="2:12" ht="13.5">
      <c r="B11" s="840" t="s">
        <v>167</v>
      </c>
      <c r="C11" s="841"/>
      <c r="D11" s="835" t="s">
        <v>442</v>
      </c>
      <c r="E11" s="828" t="s">
        <v>462</v>
      </c>
      <c r="F11" s="828"/>
      <c r="G11" s="828" t="s">
        <v>463</v>
      </c>
      <c r="H11" s="828"/>
      <c r="I11" s="828" t="s">
        <v>464</v>
      </c>
      <c r="J11" s="828"/>
      <c r="K11" s="828" t="s">
        <v>465</v>
      </c>
      <c r="L11" s="828"/>
    </row>
    <row r="12" spans="2:12" ht="29.25" customHeight="1">
      <c r="B12" s="841"/>
      <c r="C12" s="841"/>
      <c r="D12" s="835"/>
      <c r="E12" s="873"/>
      <c r="F12" s="873"/>
      <c r="G12" s="829">
        <f>INT(G10*0.04)</f>
        <v>0</v>
      </c>
      <c r="H12" s="829"/>
      <c r="I12" s="829">
        <f>INT(I10*0.063)</f>
        <v>0</v>
      </c>
      <c r="J12" s="829"/>
      <c r="K12" s="829">
        <f>G12+I12</f>
        <v>0</v>
      </c>
      <c r="L12" s="829"/>
    </row>
    <row r="13" spans="2:12" ht="13.5">
      <c r="B13" s="840" t="s">
        <v>441</v>
      </c>
      <c r="C13" s="841"/>
      <c r="D13" s="835" t="s">
        <v>494</v>
      </c>
      <c r="E13" s="828" t="s">
        <v>466</v>
      </c>
      <c r="F13" s="828"/>
      <c r="G13" s="828" t="s">
        <v>467</v>
      </c>
      <c r="H13" s="828"/>
      <c r="I13" s="828" t="s">
        <v>468</v>
      </c>
      <c r="J13" s="828"/>
      <c r="K13" s="828" t="s">
        <v>469</v>
      </c>
      <c r="L13" s="828"/>
    </row>
    <row r="14" spans="2:12" ht="27.75" customHeight="1">
      <c r="B14" s="841"/>
      <c r="C14" s="841"/>
      <c r="D14" s="835"/>
      <c r="E14" s="873"/>
      <c r="F14" s="873"/>
      <c r="G14" s="829"/>
      <c r="H14" s="829"/>
      <c r="I14" s="829"/>
      <c r="J14" s="829"/>
      <c r="K14" s="829"/>
      <c r="L14" s="829"/>
    </row>
    <row r="15" spans="2:12" ht="26.25" customHeight="1">
      <c r="B15" s="879" t="s">
        <v>450</v>
      </c>
      <c r="C15" s="840" t="s">
        <v>446</v>
      </c>
      <c r="D15" s="835" t="s">
        <v>495</v>
      </c>
      <c r="E15" s="871" t="s">
        <v>470</v>
      </c>
      <c r="F15" s="828"/>
      <c r="G15" s="871" t="s">
        <v>471</v>
      </c>
      <c r="H15" s="828"/>
      <c r="I15" s="871" t="s">
        <v>472</v>
      </c>
      <c r="J15" s="828"/>
      <c r="K15" s="871" t="s">
        <v>473</v>
      </c>
      <c r="L15" s="828"/>
    </row>
    <row r="16" spans="2:12" ht="27.75" customHeight="1">
      <c r="B16" s="876"/>
      <c r="C16" s="841"/>
      <c r="D16" s="835"/>
      <c r="E16" s="873"/>
      <c r="F16" s="873"/>
      <c r="G16" s="829">
        <f>'簡易付表5(2)'!J23+'簡易付表5(2)'!J94</f>
        <v>0</v>
      </c>
      <c r="H16" s="829"/>
      <c r="I16" s="829">
        <f>'簡易付表5(2)'!L23+'簡易付表5(2)'!L94</f>
        <v>0</v>
      </c>
      <c r="J16" s="829"/>
      <c r="K16" s="829">
        <f>G16+I16</f>
        <v>0</v>
      </c>
      <c r="L16" s="829"/>
    </row>
    <row r="17" spans="2:12" ht="13.5">
      <c r="B17" s="876"/>
      <c r="C17" s="840" t="s">
        <v>447</v>
      </c>
      <c r="D17" s="835" t="s">
        <v>496</v>
      </c>
      <c r="E17" s="828" t="s">
        <v>474</v>
      </c>
      <c r="F17" s="828"/>
      <c r="G17" s="828" t="s">
        <v>475</v>
      </c>
      <c r="H17" s="828"/>
      <c r="I17" s="828" t="s">
        <v>476</v>
      </c>
      <c r="J17" s="828"/>
      <c r="K17" s="828" t="s">
        <v>477</v>
      </c>
      <c r="L17" s="828"/>
    </row>
    <row r="18" spans="2:12" ht="27.75" customHeight="1">
      <c r="B18" s="876"/>
      <c r="C18" s="841"/>
      <c r="D18" s="835"/>
      <c r="E18" s="873"/>
      <c r="F18" s="873"/>
      <c r="G18" s="829"/>
      <c r="H18" s="829"/>
      <c r="I18" s="829"/>
      <c r="J18" s="829"/>
      <c r="K18" s="829"/>
      <c r="L18" s="829"/>
    </row>
    <row r="19" spans="2:12" ht="13.5">
      <c r="B19" s="876"/>
      <c r="C19" s="840" t="s">
        <v>448</v>
      </c>
      <c r="D19" s="835" t="s">
        <v>497</v>
      </c>
      <c r="E19" s="836"/>
      <c r="F19" s="836"/>
      <c r="G19" s="836"/>
      <c r="H19" s="836"/>
      <c r="I19" s="836"/>
      <c r="J19" s="836"/>
      <c r="K19" s="828" t="s">
        <v>478</v>
      </c>
      <c r="L19" s="828"/>
    </row>
    <row r="20" spans="2:12" ht="27.75" customHeight="1">
      <c r="B20" s="876"/>
      <c r="C20" s="841"/>
      <c r="D20" s="835"/>
      <c r="E20" s="873"/>
      <c r="F20" s="873"/>
      <c r="G20" s="829">
        <f>INT('最初'!C20*4/105)</f>
        <v>0</v>
      </c>
      <c r="H20" s="829"/>
      <c r="I20" s="829"/>
      <c r="J20" s="829"/>
      <c r="K20" s="829">
        <f>G20+I20</f>
        <v>0</v>
      </c>
      <c r="L20" s="829"/>
    </row>
    <row r="21" spans="2:12" ht="13.5">
      <c r="B21" s="876"/>
      <c r="C21" s="840" t="s">
        <v>449</v>
      </c>
      <c r="D21" s="835" t="s">
        <v>498</v>
      </c>
      <c r="E21" s="836"/>
      <c r="F21" s="836"/>
      <c r="G21" s="836"/>
      <c r="H21" s="836"/>
      <c r="I21" s="836"/>
      <c r="J21" s="836"/>
      <c r="K21" s="828" t="s">
        <v>479</v>
      </c>
      <c r="L21" s="828"/>
    </row>
    <row r="22" spans="2:12" ht="27.75" customHeight="1">
      <c r="B22" s="876"/>
      <c r="C22" s="841"/>
      <c r="D22" s="835"/>
      <c r="E22" s="873"/>
      <c r="F22" s="873"/>
      <c r="G22" s="829">
        <f>G16+G18+G20</f>
        <v>0</v>
      </c>
      <c r="H22" s="829"/>
      <c r="I22" s="829">
        <f>I16+I18+I20</f>
        <v>0</v>
      </c>
      <c r="J22" s="829"/>
      <c r="K22" s="829">
        <f>G22+I22</f>
        <v>0</v>
      </c>
      <c r="L22" s="829"/>
    </row>
    <row r="23" spans="2:12" ht="13.5">
      <c r="B23" s="840" t="s">
        <v>453</v>
      </c>
      <c r="C23" s="841"/>
      <c r="D23" s="835" t="s">
        <v>499</v>
      </c>
      <c r="E23" s="836"/>
      <c r="F23" s="836"/>
      <c r="G23" s="872" t="s">
        <v>480</v>
      </c>
      <c r="H23" s="872"/>
      <c r="I23" s="872" t="s">
        <v>481</v>
      </c>
      <c r="J23" s="872"/>
      <c r="K23" s="836"/>
      <c r="L23" s="836"/>
    </row>
    <row r="24" spans="2:12" ht="27.75" customHeight="1">
      <c r="B24" s="841"/>
      <c r="C24" s="841"/>
      <c r="D24" s="835"/>
      <c r="E24" s="873"/>
      <c r="F24" s="873"/>
      <c r="G24" s="829">
        <f>IF(K22-K12&gt;0,G22-G12,0)</f>
        <v>0</v>
      </c>
      <c r="H24" s="829"/>
      <c r="I24" s="829">
        <f>IF(K22-K12&gt;0,I22-I12,0)</f>
        <v>0</v>
      </c>
      <c r="J24" s="829"/>
      <c r="K24" s="829">
        <f>IF(K22-K12&gt;0,K22-K12,0)</f>
        <v>0</v>
      </c>
      <c r="L24" s="829"/>
    </row>
    <row r="25" spans="2:12" ht="13.5">
      <c r="B25" s="840" t="s">
        <v>454</v>
      </c>
      <c r="C25" s="841"/>
      <c r="D25" s="835" t="s">
        <v>500</v>
      </c>
      <c r="E25" s="836"/>
      <c r="F25" s="836"/>
      <c r="G25" s="874" t="s">
        <v>482</v>
      </c>
      <c r="H25" s="874"/>
      <c r="I25" s="874" t="s">
        <v>483</v>
      </c>
      <c r="J25" s="874"/>
      <c r="K25" s="875"/>
      <c r="L25" s="875"/>
    </row>
    <row r="26" spans="2:12" ht="27.75" customHeight="1">
      <c r="B26" s="841"/>
      <c r="C26" s="841"/>
      <c r="D26" s="835"/>
      <c r="E26" s="873"/>
      <c r="F26" s="873"/>
      <c r="G26" s="829">
        <f>IF(K12+K14-K22&gt;0,G12+G14-G22,0)</f>
        <v>0</v>
      </c>
      <c r="H26" s="829"/>
      <c r="I26" s="829">
        <f>IF(K12+K14-K22&gt;0,I12+I14-I22,0)</f>
        <v>0</v>
      </c>
      <c r="J26" s="829"/>
      <c r="K26" s="829">
        <f>IF(K12+K14-K22&gt;0,K12+K14-K22,0)</f>
        <v>0</v>
      </c>
      <c r="L26" s="829"/>
    </row>
    <row r="27" spans="2:12" ht="23.25" customHeight="1">
      <c r="B27" s="840" t="s">
        <v>455</v>
      </c>
      <c r="C27" s="841"/>
      <c r="D27" s="835" t="s">
        <v>501</v>
      </c>
      <c r="E27" s="867"/>
      <c r="F27" s="868"/>
      <c r="G27" s="867"/>
      <c r="H27" s="868"/>
      <c r="I27" s="867"/>
      <c r="J27" s="868"/>
      <c r="K27" s="871" t="s">
        <v>484</v>
      </c>
      <c r="L27" s="828"/>
    </row>
    <row r="28" spans="2:12" ht="27.75" customHeight="1">
      <c r="B28" s="841"/>
      <c r="C28" s="841"/>
      <c r="D28" s="835"/>
      <c r="E28" s="869"/>
      <c r="F28" s="870"/>
      <c r="G28" s="869"/>
      <c r="H28" s="870"/>
      <c r="I28" s="869"/>
      <c r="J28" s="870"/>
      <c r="K28" s="829">
        <f>K26-K24</f>
        <v>0</v>
      </c>
      <c r="L28" s="829"/>
    </row>
    <row r="29" spans="2:12" ht="17.25" customHeight="1">
      <c r="B29" s="877" t="s">
        <v>451</v>
      </c>
      <c r="C29" s="840" t="s">
        <v>456</v>
      </c>
      <c r="D29" s="835" t="s">
        <v>502</v>
      </c>
      <c r="E29" s="867"/>
      <c r="F29" s="868"/>
      <c r="G29" s="828" t="s">
        <v>485</v>
      </c>
      <c r="H29" s="828"/>
      <c r="I29" s="828" t="s">
        <v>486</v>
      </c>
      <c r="J29" s="828"/>
      <c r="K29" s="828"/>
      <c r="L29" s="828"/>
    </row>
    <row r="30" spans="2:12" ht="39" customHeight="1">
      <c r="B30" s="878"/>
      <c r="C30" s="841"/>
      <c r="D30" s="835"/>
      <c r="E30" s="869"/>
      <c r="F30" s="870"/>
      <c r="G30" s="829">
        <f>G24</f>
        <v>0</v>
      </c>
      <c r="H30" s="829"/>
      <c r="I30" s="829">
        <f>I24</f>
        <v>0</v>
      </c>
      <c r="J30" s="829"/>
      <c r="K30" s="829">
        <f>G30+I30</f>
        <v>0</v>
      </c>
      <c r="L30" s="829"/>
    </row>
    <row r="31" spans="2:12" ht="17.25" customHeight="1">
      <c r="B31" s="878"/>
      <c r="C31" s="841" t="s">
        <v>457</v>
      </c>
      <c r="D31" s="835" t="s">
        <v>503</v>
      </c>
      <c r="E31" s="867"/>
      <c r="F31" s="868"/>
      <c r="G31" s="828" t="s">
        <v>487</v>
      </c>
      <c r="H31" s="828"/>
      <c r="I31" s="828" t="s">
        <v>488</v>
      </c>
      <c r="J31" s="828"/>
      <c r="K31" s="836"/>
      <c r="L31" s="836"/>
    </row>
    <row r="32" spans="2:12" ht="34.5" customHeight="1">
      <c r="B32" s="878"/>
      <c r="C32" s="841"/>
      <c r="D32" s="835"/>
      <c r="E32" s="869"/>
      <c r="F32" s="870"/>
      <c r="G32" s="829">
        <f>G26</f>
        <v>0</v>
      </c>
      <c r="H32" s="829"/>
      <c r="I32" s="829">
        <f>I26</f>
        <v>0</v>
      </c>
      <c r="J32" s="829"/>
      <c r="K32" s="829">
        <f>G32+I32</f>
        <v>0</v>
      </c>
      <c r="L32" s="829"/>
    </row>
    <row r="33" spans="2:12" ht="22.5" customHeight="1">
      <c r="B33" s="878"/>
      <c r="C33" s="840" t="s">
        <v>458</v>
      </c>
      <c r="D33" s="835" t="s">
        <v>504</v>
      </c>
      <c r="E33" s="867"/>
      <c r="F33" s="868"/>
      <c r="G33" s="867"/>
      <c r="H33" s="868"/>
      <c r="I33" s="867"/>
      <c r="J33" s="868"/>
      <c r="K33" s="871" t="s">
        <v>484</v>
      </c>
      <c r="L33" s="872"/>
    </row>
    <row r="34" spans="2:12" ht="39.75" customHeight="1">
      <c r="B34" s="878"/>
      <c r="C34" s="841"/>
      <c r="D34" s="835"/>
      <c r="E34" s="869"/>
      <c r="F34" s="870"/>
      <c r="G34" s="869"/>
      <c r="H34" s="870"/>
      <c r="I34" s="869"/>
      <c r="J34" s="870"/>
      <c r="K34" s="829">
        <f>K32-K30</f>
        <v>0</v>
      </c>
      <c r="L34" s="829"/>
    </row>
    <row r="35" spans="2:12" ht="16.5" customHeight="1">
      <c r="B35" s="876" t="s">
        <v>452</v>
      </c>
      <c r="C35" s="841" t="s">
        <v>459</v>
      </c>
      <c r="D35" s="835" t="s">
        <v>505</v>
      </c>
      <c r="E35" s="867"/>
      <c r="F35" s="868"/>
      <c r="G35" s="828" t="s">
        <v>489</v>
      </c>
      <c r="H35" s="828"/>
      <c r="I35" s="828" t="s">
        <v>490</v>
      </c>
      <c r="J35" s="828"/>
      <c r="K35" s="828"/>
      <c r="L35" s="828"/>
    </row>
    <row r="36" spans="2:12" ht="27.75" customHeight="1">
      <c r="B36" s="876"/>
      <c r="C36" s="841"/>
      <c r="D36" s="835"/>
      <c r="E36" s="869"/>
      <c r="F36" s="870"/>
      <c r="G36" s="829">
        <f>INT(G30*25/100)</f>
        <v>0</v>
      </c>
      <c r="H36" s="829"/>
      <c r="I36" s="829">
        <f>INT(I30*17/63)</f>
        <v>0</v>
      </c>
      <c r="J36" s="829"/>
      <c r="K36" s="829">
        <f>G36+I36</f>
        <v>0</v>
      </c>
      <c r="L36" s="829"/>
    </row>
    <row r="37" spans="2:12" ht="13.5">
      <c r="B37" s="876"/>
      <c r="C37" s="841" t="s">
        <v>460</v>
      </c>
      <c r="D37" s="835" t="s">
        <v>506</v>
      </c>
      <c r="E37" s="867"/>
      <c r="F37" s="868"/>
      <c r="G37" s="828" t="s">
        <v>491</v>
      </c>
      <c r="H37" s="828"/>
      <c r="I37" s="828" t="s">
        <v>492</v>
      </c>
      <c r="J37" s="828"/>
      <c r="K37" s="836"/>
      <c r="L37" s="836"/>
    </row>
    <row r="38" spans="2:12" ht="27.75" customHeight="1">
      <c r="B38" s="876"/>
      <c r="C38" s="841"/>
      <c r="D38" s="835"/>
      <c r="E38" s="869"/>
      <c r="F38" s="870"/>
      <c r="G38" s="829">
        <f>INT(G32*25/100)</f>
        <v>0</v>
      </c>
      <c r="H38" s="829"/>
      <c r="I38" s="829">
        <f>INT(I32*17/63)</f>
        <v>0</v>
      </c>
      <c r="J38" s="829"/>
      <c r="K38" s="829">
        <f>G38+I38</f>
        <v>0</v>
      </c>
      <c r="L38" s="829"/>
    </row>
    <row r="39" spans="2:12" ht="23.25" customHeight="1">
      <c r="B39" s="840" t="s">
        <v>461</v>
      </c>
      <c r="C39" s="841"/>
      <c r="D39" s="835" t="s">
        <v>507</v>
      </c>
      <c r="E39" s="867"/>
      <c r="F39" s="868"/>
      <c r="G39" s="867"/>
      <c r="H39" s="868"/>
      <c r="I39" s="867"/>
      <c r="J39" s="868"/>
      <c r="K39" s="871" t="s">
        <v>493</v>
      </c>
      <c r="L39" s="828"/>
    </row>
    <row r="40" spans="2:12" ht="30.75" customHeight="1">
      <c r="B40" s="841"/>
      <c r="C40" s="841"/>
      <c r="D40" s="835"/>
      <c r="E40" s="869"/>
      <c r="F40" s="870"/>
      <c r="G40" s="869"/>
      <c r="H40" s="870"/>
      <c r="I40" s="869"/>
      <c r="J40" s="870"/>
      <c r="K40" s="842">
        <f>K38-K36</f>
        <v>0</v>
      </c>
      <c r="L40" s="842"/>
    </row>
  </sheetData>
  <sheetProtection/>
  <mergeCells count="158">
    <mergeCell ref="G8:H8"/>
    <mergeCell ref="I8:J8"/>
    <mergeCell ref="K8:L8"/>
    <mergeCell ref="L4:L5"/>
    <mergeCell ref="B11:C12"/>
    <mergeCell ref="D11:D12"/>
    <mergeCell ref="B9:C10"/>
    <mergeCell ref="D9:D10"/>
    <mergeCell ref="E9:F9"/>
    <mergeCell ref="G9:H9"/>
    <mergeCell ref="B13:C14"/>
    <mergeCell ref="D13:D14"/>
    <mergeCell ref="C15:C16"/>
    <mergeCell ref="E11:F11"/>
    <mergeCell ref="G11:H11"/>
    <mergeCell ref="I11:J11"/>
    <mergeCell ref="E14:F14"/>
    <mergeCell ref="G16:H16"/>
    <mergeCell ref="I16:J16"/>
    <mergeCell ref="B15:B22"/>
    <mergeCell ref="I9:J9"/>
    <mergeCell ref="K9:L9"/>
    <mergeCell ref="E10:F10"/>
    <mergeCell ref="G10:H10"/>
    <mergeCell ref="I10:J10"/>
    <mergeCell ref="K10:L10"/>
    <mergeCell ref="F7:H7"/>
    <mergeCell ref="J7:L7"/>
    <mergeCell ref="B8:D8"/>
    <mergeCell ref="E8:F8"/>
    <mergeCell ref="D15:D16"/>
    <mergeCell ref="D17:D18"/>
    <mergeCell ref="G13:H13"/>
    <mergeCell ref="I13:J13"/>
    <mergeCell ref="K13:L13"/>
    <mergeCell ref="E16:F16"/>
    <mergeCell ref="D19:D20"/>
    <mergeCell ref="D21:D22"/>
    <mergeCell ref="D23:D24"/>
    <mergeCell ref="D25:D26"/>
    <mergeCell ref="K11:L11"/>
    <mergeCell ref="E12:F12"/>
    <mergeCell ref="G12:H12"/>
    <mergeCell ref="I12:J12"/>
    <mergeCell ref="K12:L12"/>
    <mergeCell ref="E13:F13"/>
    <mergeCell ref="K16:L16"/>
    <mergeCell ref="E17:F17"/>
    <mergeCell ref="G17:H17"/>
    <mergeCell ref="D27:D28"/>
    <mergeCell ref="B27:C28"/>
    <mergeCell ref="C29:C30"/>
    <mergeCell ref="B29:B34"/>
    <mergeCell ref="C17:C18"/>
    <mergeCell ref="C19:C20"/>
    <mergeCell ref="C21:C22"/>
    <mergeCell ref="B23:C24"/>
    <mergeCell ref="B25:C26"/>
    <mergeCell ref="D29:D30"/>
    <mergeCell ref="D31:D32"/>
    <mergeCell ref="D33:D34"/>
    <mergeCell ref="D35:D36"/>
    <mergeCell ref="D37:D38"/>
    <mergeCell ref="D39:D40"/>
    <mergeCell ref="C37:C38"/>
    <mergeCell ref="B35:B38"/>
    <mergeCell ref="B39:C40"/>
    <mergeCell ref="C31:C32"/>
    <mergeCell ref="C33:C34"/>
    <mergeCell ref="C35:C36"/>
    <mergeCell ref="G14:H14"/>
    <mergeCell ref="I14:J14"/>
    <mergeCell ref="K14:L14"/>
    <mergeCell ref="E15:F15"/>
    <mergeCell ref="G15:H15"/>
    <mergeCell ref="I15:J15"/>
    <mergeCell ref="K15:L15"/>
    <mergeCell ref="E21:F21"/>
    <mergeCell ref="G21:H21"/>
    <mergeCell ref="I21:J21"/>
    <mergeCell ref="K21:L21"/>
    <mergeCell ref="I17:J17"/>
    <mergeCell ref="K17:L17"/>
    <mergeCell ref="I19:J19"/>
    <mergeCell ref="K19:L19"/>
    <mergeCell ref="E20:F20"/>
    <mergeCell ref="G20:H20"/>
    <mergeCell ref="I20:J20"/>
    <mergeCell ref="K20:L20"/>
    <mergeCell ref="E25:F25"/>
    <mergeCell ref="G25:H25"/>
    <mergeCell ref="I25:J25"/>
    <mergeCell ref="K25:L25"/>
    <mergeCell ref="E18:F18"/>
    <mergeCell ref="G18:H18"/>
    <mergeCell ref="I18:J18"/>
    <mergeCell ref="K18:L18"/>
    <mergeCell ref="E19:F19"/>
    <mergeCell ref="G19:H19"/>
    <mergeCell ref="G23:H23"/>
    <mergeCell ref="I23:J23"/>
    <mergeCell ref="K23:L23"/>
    <mergeCell ref="E24:F24"/>
    <mergeCell ref="G24:H24"/>
    <mergeCell ref="I24:J24"/>
    <mergeCell ref="K24:L24"/>
    <mergeCell ref="E26:F26"/>
    <mergeCell ref="G26:H26"/>
    <mergeCell ref="I26:J26"/>
    <mergeCell ref="K26:L26"/>
    <mergeCell ref="K27:L27"/>
    <mergeCell ref="E22:F22"/>
    <mergeCell ref="G22:H22"/>
    <mergeCell ref="I22:J22"/>
    <mergeCell ref="K22:L22"/>
    <mergeCell ref="E23:F23"/>
    <mergeCell ref="K32:L32"/>
    <mergeCell ref="K33:L33"/>
    <mergeCell ref="K28:L28"/>
    <mergeCell ref="G29:H29"/>
    <mergeCell ref="I29:J29"/>
    <mergeCell ref="K29:L29"/>
    <mergeCell ref="K30:L30"/>
    <mergeCell ref="G31:H31"/>
    <mergeCell ref="I31:J31"/>
    <mergeCell ref="K31:L31"/>
    <mergeCell ref="I35:J35"/>
    <mergeCell ref="K35:L35"/>
    <mergeCell ref="G33:H34"/>
    <mergeCell ref="I33:J34"/>
    <mergeCell ref="G32:H32"/>
    <mergeCell ref="I32:J32"/>
    <mergeCell ref="K40:L40"/>
    <mergeCell ref="E27:F28"/>
    <mergeCell ref="G27:H28"/>
    <mergeCell ref="I27:J28"/>
    <mergeCell ref="E29:F30"/>
    <mergeCell ref="E31:F32"/>
    <mergeCell ref="E33:F34"/>
    <mergeCell ref="G38:H38"/>
    <mergeCell ref="G30:H30"/>
    <mergeCell ref="I30:J30"/>
    <mergeCell ref="K39:L39"/>
    <mergeCell ref="E37:F38"/>
    <mergeCell ref="E39:F40"/>
    <mergeCell ref="G36:H36"/>
    <mergeCell ref="I36:J36"/>
    <mergeCell ref="K36:L36"/>
    <mergeCell ref="G37:H37"/>
    <mergeCell ref="I37:J37"/>
    <mergeCell ref="G39:H40"/>
    <mergeCell ref="I39:J40"/>
    <mergeCell ref="K37:L37"/>
    <mergeCell ref="E35:F36"/>
    <mergeCell ref="K34:L34"/>
    <mergeCell ref="G35:H35"/>
    <mergeCell ref="I38:J38"/>
    <mergeCell ref="K38:L38"/>
  </mergeCells>
  <printOptions/>
  <pageMargins left="0.35" right="0.31" top="0.78" bottom="0.51" header="0.3" footer="0.3"/>
  <pageSetup orientation="portrait" paperSize="9" scale="65" r:id="rId2"/>
  <drawing r:id="rId1"/>
</worksheet>
</file>

<file path=xl/worksheets/sheet14.xml><?xml version="1.0" encoding="utf-8"?>
<worksheet xmlns="http://schemas.openxmlformats.org/spreadsheetml/2006/main" xmlns:r="http://schemas.openxmlformats.org/officeDocument/2006/relationships">
  <sheetPr codeName="Sheet5"/>
  <dimension ref="B3:M3"/>
  <sheetViews>
    <sheetView zoomScalePageLayoutView="0" workbookViewId="0" topLeftCell="A1">
      <selection activeCell="L41" sqref="L41"/>
    </sheetView>
  </sheetViews>
  <sheetFormatPr defaultColWidth="9.00390625" defaultRowHeight="13.5"/>
  <sheetData>
    <row r="3" spans="2:13" ht="13.5">
      <c r="B3" s="348"/>
      <c r="M3" s="348"/>
    </row>
  </sheetData>
  <sheetProtection/>
  <printOptions/>
  <pageMargins left="0.7" right="0.7" top="0.75" bottom="0.75" header="0.3" footer="0.3"/>
  <pageSetup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2"/>
  <dimension ref="A1:G20"/>
  <sheetViews>
    <sheetView showRowColHeaders="0" zoomScale="200" zoomScaleNormal="200" zoomScalePageLayoutView="0" workbookViewId="0" topLeftCell="A1">
      <selection activeCell="G23" sqref="G23"/>
    </sheetView>
  </sheetViews>
  <sheetFormatPr defaultColWidth="10.00390625" defaultRowHeight="13.5"/>
  <cols>
    <col min="1" max="1" width="1.875" style="4" customWidth="1"/>
    <col min="2" max="2" width="13.875" style="4" bestFit="1" customWidth="1"/>
    <col min="3" max="4" width="10.00390625" style="4" customWidth="1"/>
    <col min="5" max="5" width="12.00390625" style="4" customWidth="1"/>
    <col min="6" max="16384" width="10.00390625" style="4" customWidth="1"/>
  </cols>
  <sheetData>
    <row r="1" spans="1:7" ht="15">
      <c r="A1" s="305"/>
      <c r="B1" s="305"/>
      <c r="C1" s="305"/>
      <c r="D1" s="305"/>
      <c r="E1" s="305"/>
      <c r="F1" s="305"/>
      <c r="G1" s="305"/>
    </row>
    <row r="2" spans="1:7" ht="15">
      <c r="A2" s="305"/>
      <c r="B2" s="880" t="s">
        <v>32</v>
      </c>
      <c r="C2" s="881"/>
      <c r="D2" s="881"/>
      <c r="E2" s="881"/>
      <c r="F2" s="305"/>
      <c r="G2" s="305"/>
    </row>
    <row r="3" spans="1:7" ht="15">
      <c r="A3" s="305"/>
      <c r="B3" s="881"/>
      <c r="C3" s="881"/>
      <c r="D3" s="881"/>
      <c r="E3" s="881"/>
      <c r="F3" s="305"/>
      <c r="G3" s="305"/>
    </row>
    <row r="4" spans="1:7" ht="15">
      <c r="A4" s="305"/>
      <c r="B4" s="882" t="s">
        <v>33</v>
      </c>
      <c r="C4" s="883"/>
      <c r="D4" s="883"/>
      <c r="E4" s="883"/>
      <c r="F4" s="305"/>
      <c r="G4" s="305"/>
    </row>
    <row r="5" spans="1:7" ht="15">
      <c r="A5" s="305"/>
      <c r="B5" s="883"/>
      <c r="C5" s="883"/>
      <c r="D5" s="883"/>
      <c r="E5" s="883"/>
      <c r="F5" s="305"/>
      <c r="G5" s="305"/>
    </row>
    <row r="6" spans="1:7" ht="15">
      <c r="A6" s="305"/>
      <c r="B6" s="882" t="s">
        <v>34</v>
      </c>
      <c r="C6" s="883"/>
      <c r="D6" s="883"/>
      <c r="E6" s="883"/>
      <c r="F6" s="305"/>
      <c r="G6" s="305"/>
    </row>
    <row r="7" spans="1:7" ht="15">
      <c r="A7" s="305"/>
      <c r="B7" s="883"/>
      <c r="C7" s="883"/>
      <c r="D7" s="883"/>
      <c r="E7" s="883"/>
      <c r="F7" s="305"/>
      <c r="G7" s="305"/>
    </row>
    <row r="8" spans="1:7" ht="15">
      <c r="A8" s="305"/>
      <c r="B8" s="882" t="s">
        <v>35</v>
      </c>
      <c r="C8" s="883"/>
      <c r="D8" s="883"/>
      <c r="E8" s="883"/>
      <c r="F8" s="305"/>
      <c r="G8" s="305"/>
    </row>
    <row r="9" spans="1:7" ht="15">
      <c r="A9" s="305"/>
      <c r="B9" s="883"/>
      <c r="C9" s="883"/>
      <c r="D9" s="883"/>
      <c r="E9" s="883"/>
      <c r="F9" s="305"/>
      <c r="G9" s="305"/>
    </row>
    <row r="10" spans="1:7" ht="7.5" customHeight="1">
      <c r="A10" s="305"/>
      <c r="B10" s="306"/>
      <c r="C10" s="306"/>
      <c r="D10" s="306"/>
      <c r="E10" s="306"/>
      <c r="F10" s="305"/>
      <c r="G10" s="305"/>
    </row>
    <row r="11" spans="1:7" ht="7.5" customHeight="1">
      <c r="A11" s="305"/>
      <c r="B11" s="306"/>
      <c r="C11" s="306"/>
      <c r="D11" s="306"/>
      <c r="E11" s="306"/>
      <c r="F11" s="305"/>
      <c r="G11" s="305"/>
    </row>
    <row r="12" spans="1:7" ht="7.5" customHeight="1">
      <c r="A12" s="305"/>
      <c r="B12" s="306"/>
      <c r="C12" s="306"/>
      <c r="D12" s="306"/>
      <c r="E12" s="306"/>
      <c r="F12" s="305"/>
      <c r="G12" s="305"/>
    </row>
    <row r="13" spans="1:7" ht="15">
      <c r="A13" s="305"/>
      <c r="B13" s="305"/>
      <c r="C13" s="307" t="s">
        <v>36</v>
      </c>
      <c r="D13" s="307" t="s">
        <v>37</v>
      </c>
      <c r="E13" s="305"/>
      <c r="F13" s="305"/>
      <c r="G13" s="305"/>
    </row>
    <row r="14" spans="1:7" ht="15">
      <c r="A14" s="305"/>
      <c r="B14" s="308">
        <f ca="1">NOW()</f>
        <v>42045.625540277775</v>
      </c>
      <c r="C14" s="309"/>
      <c r="D14" s="309"/>
      <c r="E14" s="305"/>
      <c r="F14" s="305"/>
      <c r="G14" s="305"/>
    </row>
    <row r="15" spans="1:7" ht="15">
      <c r="A15" s="305"/>
      <c r="B15" s="305"/>
      <c r="C15" s="305"/>
      <c r="D15" s="305"/>
      <c r="E15" s="305"/>
      <c r="F15" s="305"/>
      <c r="G15" s="305"/>
    </row>
    <row r="16" spans="1:7" ht="15">
      <c r="A16" s="305"/>
      <c r="B16" s="305"/>
      <c r="C16" s="305"/>
      <c r="D16" s="305"/>
      <c r="E16" s="305"/>
      <c r="F16" s="305"/>
      <c r="G16" s="305"/>
    </row>
    <row r="17" spans="1:7" ht="15">
      <c r="A17" s="305"/>
      <c r="B17" s="305"/>
      <c r="C17" s="305"/>
      <c r="D17" s="305"/>
      <c r="E17" s="305"/>
      <c r="F17" s="305"/>
      <c r="G17" s="305"/>
    </row>
    <row r="18" spans="1:7" ht="15">
      <c r="A18" s="305"/>
      <c r="B18" s="305"/>
      <c r="C18" s="305"/>
      <c r="D18" s="305"/>
      <c r="E18" s="305"/>
      <c r="F18" s="305"/>
      <c r="G18" s="305"/>
    </row>
    <row r="19" spans="1:7" ht="15">
      <c r="A19" s="305"/>
      <c r="B19" s="305"/>
      <c r="C19" s="305"/>
      <c r="D19" s="305"/>
      <c r="E19" s="305"/>
      <c r="F19" s="305"/>
      <c r="G19" s="305"/>
    </row>
    <row r="20" spans="1:7" ht="15">
      <c r="A20" s="305"/>
      <c r="B20" s="305"/>
      <c r="C20" s="305"/>
      <c r="D20" s="305"/>
      <c r="E20" s="305"/>
      <c r="F20" s="305"/>
      <c r="G20" s="305"/>
    </row>
  </sheetData>
  <sheetProtection/>
  <mergeCells count="4">
    <mergeCell ref="B2:E3"/>
    <mergeCell ref="B8:E9"/>
    <mergeCell ref="B4:E5"/>
    <mergeCell ref="B6:E7"/>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29">
    <tabColor indexed="50"/>
  </sheetPr>
  <dimension ref="A1:U44"/>
  <sheetViews>
    <sheetView zoomScale="93" zoomScaleNormal="93" zoomScalePageLayoutView="0" workbookViewId="0" topLeftCell="H1">
      <selection activeCell="A1" sqref="A1:IV16384"/>
    </sheetView>
  </sheetViews>
  <sheetFormatPr defaultColWidth="10.00390625" defaultRowHeight="13.5"/>
  <cols>
    <col min="1" max="7" width="4.25390625" style="4" hidden="1" customWidth="1"/>
    <col min="8" max="8" width="2.125" style="4" customWidth="1"/>
    <col min="9" max="9" width="6.00390625" style="4" customWidth="1"/>
    <col min="10" max="10" width="24.625" style="4" customWidth="1"/>
    <col min="11" max="18" width="14.375" style="4" customWidth="1"/>
    <col min="19" max="20" width="13.25390625" style="4" customWidth="1"/>
    <col min="21" max="21" width="13.50390625" style="4" customWidth="1"/>
    <col min="22" max="16384" width="10.00390625" style="4" customWidth="1"/>
  </cols>
  <sheetData>
    <row r="1" spans="1:21" ht="27" customHeight="1">
      <c r="A1" s="36"/>
      <c r="B1" s="36"/>
      <c r="C1" s="36"/>
      <c r="D1" s="36"/>
      <c r="E1" s="36"/>
      <c r="F1" s="36"/>
      <c r="G1" s="36"/>
      <c r="H1" s="37"/>
      <c r="I1" s="38"/>
      <c r="J1" s="39"/>
      <c r="K1" s="40"/>
      <c r="L1" s="40"/>
      <c r="M1" s="40"/>
      <c r="N1" s="40"/>
      <c r="O1" s="40"/>
      <c r="P1" s="40"/>
      <c r="Q1" s="40"/>
      <c r="R1" s="40"/>
      <c r="S1" s="40"/>
      <c r="T1" s="40"/>
      <c r="U1" s="320"/>
    </row>
    <row r="2" spans="1:21" ht="24.75" thickBot="1">
      <c r="A2" s="41"/>
      <c r="B2" s="41"/>
      <c r="C2" s="41"/>
      <c r="D2" s="41"/>
      <c r="E2" s="41"/>
      <c r="F2" s="41"/>
      <c r="G2" s="41"/>
      <c r="H2" s="38"/>
      <c r="I2" s="41"/>
      <c r="J2" s="493" t="s">
        <v>75</v>
      </c>
      <c r="K2" s="493"/>
      <c r="L2" s="493"/>
      <c r="M2" s="493"/>
      <c r="N2" s="493"/>
      <c r="O2" s="493"/>
      <c r="P2" s="42"/>
      <c r="Q2" s="42"/>
      <c r="R2" s="42"/>
      <c r="S2" s="43"/>
      <c r="T2" s="43"/>
      <c r="U2" s="44"/>
    </row>
    <row r="3" spans="1:21" ht="18" customHeight="1">
      <c r="A3" s="41"/>
      <c r="B3" s="41"/>
      <c r="C3" s="41"/>
      <c r="D3" s="41"/>
      <c r="E3" s="41"/>
      <c r="F3" s="41"/>
      <c r="G3" s="41"/>
      <c r="H3" s="38"/>
      <c r="I3" s="494" t="s">
        <v>76</v>
      </c>
      <c r="J3" s="495"/>
      <c r="K3" s="489" t="s">
        <v>77</v>
      </c>
      <c r="L3" s="504" t="s">
        <v>78</v>
      </c>
      <c r="M3" s="489" t="s">
        <v>79</v>
      </c>
      <c r="N3" s="491" t="s">
        <v>80</v>
      </c>
      <c r="O3" s="492"/>
      <c r="P3" s="515" t="s">
        <v>81</v>
      </c>
      <c r="Q3" s="489" t="s">
        <v>544</v>
      </c>
      <c r="R3" s="489" t="s">
        <v>545</v>
      </c>
      <c r="S3" s="513" t="s">
        <v>82</v>
      </c>
      <c r="T3" s="514"/>
      <c r="U3" s="41"/>
    </row>
    <row r="4" spans="1:21" ht="18" customHeight="1">
      <c r="A4" s="39"/>
      <c r="B4" s="39"/>
      <c r="C4" s="39"/>
      <c r="D4" s="39"/>
      <c r="E4" s="39"/>
      <c r="F4" s="39"/>
      <c r="G4" s="39"/>
      <c r="H4" s="46"/>
      <c r="I4" s="496"/>
      <c r="J4" s="497"/>
      <c r="K4" s="502"/>
      <c r="L4" s="505"/>
      <c r="M4" s="507"/>
      <c r="N4" s="500"/>
      <c r="O4" s="501"/>
      <c r="P4" s="516"/>
      <c r="Q4" s="502"/>
      <c r="R4" s="502"/>
      <c r="S4" s="509" t="s">
        <v>38</v>
      </c>
      <c r="T4" s="511" t="s">
        <v>39</v>
      </c>
      <c r="U4" s="39"/>
    </row>
    <row r="5" spans="1:21" ht="18.75" thickBot="1">
      <c r="A5" s="41"/>
      <c r="B5" s="41"/>
      <c r="C5" s="41"/>
      <c r="D5" s="41"/>
      <c r="E5" s="41"/>
      <c r="F5" s="41"/>
      <c r="G5" s="41"/>
      <c r="H5" s="38"/>
      <c r="I5" s="498"/>
      <c r="J5" s="499"/>
      <c r="K5" s="503"/>
      <c r="L5" s="506"/>
      <c r="M5" s="508"/>
      <c r="N5" s="48" t="s">
        <v>83</v>
      </c>
      <c r="O5" s="48" t="s">
        <v>84</v>
      </c>
      <c r="P5" s="517"/>
      <c r="Q5" s="503"/>
      <c r="R5" s="503"/>
      <c r="S5" s="510"/>
      <c r="T5" s="512"/>
      <c r="U5" s="41"/>
    </row>
    <row r="6" spans="1:21" ht="21.75" customHeight="1" thickBot="1">
      <c r="A6" s="36">
        <v>1</v>
      </c>
      <c r="B6" s="36">
        <v>1</v>
      </c>
      <c r="C6" s="36">
        <v>2</v>
      </c>
      <c r="D6" s="36">
        <f>A6*10+B6</f>
        <v>11</v>
      </c>
      <c r="E6" s="36">
        <f>A6*10+C6</f>
        <v>12</v>
      </c>
      <c r="F6" s="36"/>
      <c r="G6" s="36"/>
      <c r="H6" s="49"/>
      <c r="I6" s="479"/>
      <c r="J6" s="50" t="str">
        <f>'[2]決算書'!C11</f>
        <v>販売金額(売上高)</v>
      </c>
      <c r="K6" s="363">
        <f>SUMIF('[2]収益収入'!$X$10:$X$4011,'売上修正'!A6,'[2]収益収入'!$F$10:$F$4011)+SUMIF('[2]複合仕訳'!$G$15:$M$15,A6,'[2]複合仕訳'!$G$4:$M$4)</f>
        <v>0</v>
      </c>
      <c r="L6" s="364">
        <f>SUM(S6:T6)</f>
        <v>0</v>
      </c>
      <c r="M6" s="52">
        <f>K6-L6</f>
        <v>0</v>
      </c>
      <c r="N6" s="53">
        <f>SUMIF('[2]収益収入'!$X$10:$X$4011,'売上修正'!A6,'[2]収益収入'!$AJ$10:$AJ$4011)+SUMIF('[2]複合仕訳'!$G$15:$M$15,A6,'[2]複合仕訳'!$G$5:$M$5)</f>
        <v>0</v>
      </c>
      <c r="O6" s="53">
        <f>SUMIF('[2]収益収入'!$X$10:$X$4011,'売上修正'!A6,'[2]収益収入'!$AK$10:$AK$4011)+SUMIF('[2]複合仕訳'!$G$15:$M$15,A6,'[2]複合仕訳'!$G$6:$M$6)</f>
        <v>0</v>
      </c>
      <c r="P6" s="54">
        <f aca="true" t="shared" si="0" ref="P6:P12">M6-N6-O6</f>
        <v>0</v>
      </c>
      <c r="Q6" s="357">
        <f>SUMIF('[2]収益収入'!$AM$10:$AM$4011,'売上修正'!D6,'[2]収益収入'!$AL$10:$AL$4011)+SUMIF('[2]複合仕訳'!$AH$15:$AN$15,D6,'[2]複合仕訳'!$AH$17:$AN$17)-S6</f>
        <v>0</v>
      </c>
      <c r="R6" s="363">
        <f>SUMIF('[2]収益収入'!$AM$10:$AM$4011,'売上修正'!E6,'[2]収益収入'!$AL$10:$AL$4011)+SUMIF('[2]複合仕訳'!$AH$16:$AN$16,E6,'[2]複合仕訳'!$AH$18:$AN$18)</f>
        <v>0</v>
      </c>
      <c r="S6" s="55"/>
      <c r="T6" s="56"/>
      <c r="U6" s="36"/>
    </row>
    <row r="7" spans="1:21" ht="35.25" customHeight="1" thickBot="1">
      <c r="A7" s="36">
        <v>2</v>
      </c>
      <c r="B7" s="36">
        <v>1</v>
      </c>
      <c r="C7" s="36">
        <v>2</v>
      </c>
      <c r="D7" s="36">
        <f aca="true" t="shared" si="1" ref="D7:D19">A7*10+B7</f>
        <v>21</v>
      </c>
      <c r="E7" s="36">
        <f aca="true" t="shared" si="2" ref="E7:E19">A7*10+C7</f>
        <v>22</v>
      </c>
      <c r="F7" s="36"/>
      <c r="G7" s="36"/>
      <c r="H7" s="49"/>
      <c r="I7" s="479"/>
      <c r="J7" s="57" t="str">
        <f>'[2]決算書'!C12</f>
        <v>家 事 消 費
事 業 消 費</v>
      </c>
      <c r="K7" s="61">
        <f>SUMIF('[2]収益収入'!$X$10:$X$4011,'売上修正'!A7,'[2]収益収入'!$F$10:$F$4011)</f>
        <v>0</v>
      </c>
      <c r="L7" s="59"/>
      <c r="M7" s="60">
        <f>K7</f>
        <v>0</v>
      </c>
      <c r="N7" s="61">
        <f>SUMIF('[2]収益収入'!$X$10:$X$4011,'売上修正'!A7,'[2]収益収入'!$AJ$10:$AJ$4011)+SUMIF('[2]複合仕訳'!$G$15:$M$15,A7,'[2]複合仕訳'!$G$5:$M$5)</f>
        <v>0</v>
      </c>
      <c r="O7" s="61">
        <f>SUMIF('[2]収益収入'!$X$10:$X$4011,'売上修正'!A7,'[2]収益収入'!$AK$10:$AK$4011)+SUMIF('[2]複合仕訳'!$G$15:$M$15,A7,'[2]複合仕訳'!$G$6:$M$6)</f>
        <v>0</v>
      </c>
      <c r="P7" s="366">
        <f t="shared" si="0"/>
        <v>0</v>
      </c>
      <c r="Q7" s="61">
        <f>SUMIF('[2]収益収入'!$AM$10:$AM$4011,'売上修正'!D7,'[2]収益収入'!$AL$10:$AL$4011)</f>
        <v>0</v>
      </c>
      <c r="R7" s="61">
        <f>SUMIF('[2]収益収入'!$AM$10:$AM$4011,'売上修正'!E7,'[2]収益収入'!$AL$10:$AL$4011)</f>
        <v>0</v>
      </c>
      <c r="S7" s="62"/>
      <c r="T7" s="63"/>
      <c r="U7" s="36"/>
    </row>
    <row r="8" spans="1:21" ht="24" customHeight="1" thickBot="1">
      <c r="A8" s="36">
        <v>3</v>
      </c>
      <c r="B8" s="36">
        <v>1</v>
      </c>
      <c r="C8" s="36">
        <v>2</v>
      </c>
      <c r="D8" s="36">
        <f t="shared" si="1"/>
        <v>31</v>
      </c>
      <c r="E8" s="36">
        <f t="shared" si="2"/>
        <v>32</v>
      </c>
      <c r="F8" s="36"/>
      <c r="G8" s="36"/>
      <c r="H8" s="49"/>
      <c r="I8" s="479"/>
      <c r="J8" s="64" t="str">
        <f>'[2]決算書'!C13</f>
        <v>雑収入</v>
      </c>
      <c r="K8" s="358">
        <f>SUMIF('[2]収益収入'!$X$10:$X$4011,A8,'[2]収益収入'!$F$10:$F$4011)+SUMIF('[2]複合仕訳'!$G$15:$M$15,A8,'[2]複合仕訳'!$G$4:$M$4)</f>
        <v>0</v>
      </c>
      <c r="L8" s="359">
        <f>SUM(S8:T8)</f>
        <v>0</v>
      </c>
      <c r="M8" s="66">
        <f>K8-L8</f>
        <v>0</v>
      </c>
      <c r="N8" s="67">
        <f>SUMIF('[2]収益収入'!$X$10:$X$4011,'売上修正'!A8,'[2]収益収入'!$AJ$10:$AJ$4011)+SUMIF('[2]複合仕訳'!$G$15:$M$15,A8,'[2]複合仕訳'!$G$5:$M$5)</f>
        <v>0</v>
      </c>
      <c r="O8" s="67">
        <f>SUMIF('[2]収益収入'!$X$10:$X$4011,'売上修正'!A8,'[2]収益収入'!$AK$10:$AK$4011)+SUMIF('[2]複合仕訳'!$G$15:$M$15,A8,'[2]複合仕訳'!$G$6:$M$6)</f>
        <v>0</v>
      </c>
      <c r="P8" s="68">
        <f t="shared" si="0"/>
        <v>0</v>
      </c>
      <c r="Q8" s="368">
        <f>SUMIF('[2]収益収入'!$AM$10:$AM$4011,'売上修正'!D8,'[2]収益収入'!$AL$10:$AL$4011)+SUMIF('[2]複合仕訳'!$AH$15:$AN$15,D8,'[2]複合仕訳'!$AH$17:$AN$17)-(S8+T8)</f>
        <v>0</v>
      </c>
      <c r="R8" s="123">
        <f>SUMIF('[2]収益収入'!$AM$10:$AM$4011,'売上修正'!E8,'[2]収益収入'!$AL$10:$AL$4011)+SUMIF('[2]複合仕訳'!$AH$16:$AN$16,E8,'[2]複合仕訳'!$AH$18:$AN$18)</f>
        <v>0</v>
      </c>
      <c r="S8" s="55"/>
      <c r="T8" s="55"/>
      <c r="U8" s="36"/>
    </row>
    <row r="9" spans="1:21" ht="24" customHeight="1" thickBot="1">
      <c r="A9" s="36">
        <v>4</v>
      </c>
      <c r="B9" s="36">
        <v>1</v>
      </c>
      <c r="C9" s="36">
        <v>2</v>
      </c>
      <c r="D9" s="36">
        <f>A9*10+B9</f>
        <v>41</v>
      </c>
      <c r="E9" s="36">
        <f>A9*10+C9</f>
        <v>42</v>
      </c>
      <c r="F9" s="36"/>
      <c r="G9" s="36"/>
      <c r="H9" s="49"/>
      <c r="I9" s="479"/>
      <c r="J9" s="362" t="s">
        <v>546</v>
      </c>
      <c r="K9" s="65">
        <f>SUMIF('[2]収益収入'!$X$10:$X$4011,A9,'[2]収益収入'!$O$10:$O$4011)+SUMIF('[2]複合仕訳'!$G$15:$M$15,A9,'[2]複合仕訳'!$G$4:$M$4)</f>
        <v>0</v>
      </c>
      <c r="L9" s="71"/>
      <c r="M9" s="72">
        <f>K9</f>
        <v>0</v>
      </c>
      <c r="N9" s="360">
        <f>SUMIF('[2]収益収入'!$X$10:$X$4011,'売上修正'!A9,'[2]収益収入'!$AJ$10:$AJ$4011)+SUMIF('[2]複合仕訳'!$G$15:$M$15,A9,'[2]複合仕訳'!$G$5:$M$5)</f>
        <v>0</v>
      </c>
      <c r="O9" s="360">
        <f>SUMIF('[2]収益収入'!$X$10:$X$4011,'売上修正'!A9,'[2]収益収入'!$AK$10:$AK$4011)+SUMIF('[2]複合仕訳'!$G$15:$M$15,A9,'[2]複合仕訳'!$G$6:$M$6)</f>
        <v>0</v>
      </c>
      <c r="P9" s="361">
        <f t="shared" si="0"/>
        <v>0</v>
      </c>
      <c r="Q9" s="53">
        <f>SUMIF('[2]収益収入'!$AM$10:$AM$4011,'売上修正'!D9,'[2]収益収入'!$AL$10:$AL$4011)+SUMIF('[2]複合仕訳'!$AH$15:$AN$15,D9,'[2]複合仕訳'!$AH$17:$AN$17)</f>
        <v>0</v>
      </c>
      <c r="R9" s="51">
        <f>SUMIF('[2]収益収入'!$AM$10:$AM$4011,'売上修正'!E9,'[2]収益収入'!$AL$10:$AL$4011)+SUMIF('[2]複合仕訳'!$AH$16:$AN$16,E9,'[2]複合仕訳'!$AH$18:$AN$18)</f>
        <v>0</v>
      </c>
      <c r="S9" s="75"/>
      <c r="T9" s="76"/>
      <c r="U9" s="36"/>
    </row>
    <row r="10" spans="1:21" ht="21.75" customHeight="1" thickBot="1">
      <c r="A10" s="36">
        <v>39</v>
      </c>
      <c r="B10" s="36">
        <v>1</v>
      </c>
      <c r="C10" s="36">
        <v>2</v>
      </c>
      <c r="D10" s="36">
        <f t="shared" si="1"/>
        <v>391</v>
      </c>
      <c r="E10" s="36">
        <f t="shared" si="2"/>
        <v>392</v>
      </c>
      <c r="F10" s="36"/>
      <c r="G10" s="36"/>
      <c r="H10" s="49"/>
      <c r="I10" s="479"/>
      <c r="J10" s="69" t="s">
        <v>86</v>
      </c>
      <c r="K10" s="65">
        <f>SUMIF('[2]収益収入'!$X$10:$X$4011,A10,'[2]収益収入'!$F$10:$F$4011)+SUMIF('[2]複合仕訳'!$G$15:$M$15,A10,'[2]複合仕訳'!$G$4:$M$4)</f>
        <v>0</v>
      </c>
      <c r="L10" s="71"/>
      <c r="M10" s="72">
        <f>K10</f>
        <v>0</v>
      </c>
      <c r="N10" s="73">
        <f>SUMIF('[2]収益収入'!$X$10:$X$4011,'売上修正'!A10,'[2]収益収入'!$AJ$10:$AJ$4011)+SUMIF('[2]複合仕訳'!$G$15:$M$15,A10,'[2]複合仕訳'!$G$5:$M$5)</f>
        <v>0</v>
      </c>
      <c r="O10" s="73">
        <f>SUMIF('[2]収益収入'!$X$10:$X$4011,'売上修正'!A10,'[2]収益収入'!$AK$10:$AK$4011)+SUMIF('[2]複合仕訳'!$G$15:$M$15,A10,'[2]複合仕訳'!$G$6:$M$6)</f>
        <v>0</v>
      </c>
      <c r="P10" s="365">
        <f t="shared" si="0"/>
        <v>0</v>
      </c>
      <c r="Q10" s="53">
        <f>SUMIF('[2]収益収入'!$AM$10:$AM$4011,'売上修正'!D10,'[2]収益収入'!$F$10:$F$4011)+SUMIF('[2]複合仕訳'!$AH$15:$AN$15,D10,'[2]複合仕訳'!$AH$17:$AN$17)</f>
        <v>0</v>
      </c>
      <c r="R10" s="51">
        <f>SUMIF('[2]収益収入'!$AM$10:$AM$4011,'売上修正'!E10,'[2]収益収入'!$F$10:$F$4011)+SUMIF('[2]複合仕訳'!$AH$16:$AN$16,E10,'[2]複合仕訳'!$AH$18:$AN$18)</f>
        <v>0</v>
      </c>
      <c r="S10" s="78"/>
      <c r="T10" s="79"/>
      <c r="U10" s="36"/>
    </row>
    <row r="11" spans="1:21" ht="36.75" thickBot="1">
      <c r="A11" s="36">
        <v>51</v>
      </c>
      <c r="B11" s="36">
        <v>1</v>
      </c>
      <c r="C11" s="36">
        <v>2</v>
      </c>
      <c r="D11" s="36">
        <f t="shared" si="1"/>
        <v>511</v>
      </c>
      <c r="E11" s="36">
        <f t="shared" si="2"/>
        <v>512</v>
      </c>
      <c r="F11" s="36"/>
      <c r="G11" s="36"/>
      <c r="H11" s="49"/>
      <c r="I11" s="479"/>
      <c r="J11" s="69" t="s">
        <v>87</v>
      </c>
      <c r="K11" s="70">
        <f>SUMIF('[2]収益収入'!$AC$10:$AC$4011,A11,'[2]収益収入'!$F$10:$F$4011)+SUMIF('[2]複合仕訳'!$G$15:$M$15,A11,'[2]複合仕訳'!$G$4:$M$4)</f>
        <v>0</v>
      </c>
      <c r="L11" s="77"/>
      <c r="M11" s="72">
        <f>K11</f>
        <v>0</v>
      </c>
      <c r="N11" s="73">
        <f>SUMIF('[2]収益収入'!$AC$10:$AC$4011,'売上修正'!A11,'[2]収益収入'!$AJ$10:$AJ$4011)+SUMIF('[2]複合仕訳'!$G$15:$M$15,A11,'[2]複合仕訳'!$G$5:$M$5)</f>
        <v>0</v>
      </c>
      <c r="O11" s="73">
        <f>SUMIF('[2]収益収入'!$AC$10:$AC$4011,'売上修正'!A11,'[2]収益収入'!$AK$10:$AK$4011)+SUMIF('[2]複合仕訳'!$G$15:$M$15,A11,'[2]複合仕訳'!$G$6:$M$6)</f>
        <v>0</v>
      </c>
      <c r="P11" s="365">
        <f t="shared" si="0"/>
        <v>0</v>
      </c>
      <c r="Q11" s="53">
        <f>SUMIF('[2]収益収入'!$AM$10:$AM$4011,'売上修正'!D11,'[2]収益収入'!$F$10:$F$4011)+SUMIF('[2]複合仕訳'!$AH$15:$AN$15,D11,'[2]複合仕訳'!$AH$17:$AN$17)</f>
        <v>0</v>
      </c>
      <c r="R11" s="51">
        <f>SUMIF('[2]収益収入'!$AM$10:$AM$4011,'売上修正'!E11,'[2]収益収入'!$F$10:$F$4011)+SUMIF('[2]複合仕訳'!$AH$16:$AN$16,E11,'[2]複合仕訳'!$AH$18:$AN$18)</f>
        <v>0</v>
      </c>
      <c r="S11" s="78"/>
      <c r="T11" s="79"/>
      <c r="U11" s="36"/>
    </row>
    <row r="12" spans="1:21" ht="36.75" thickBot="1">
      <c r="A12" s="36">
        <v>52</v>
      </c>
      <c r="B12" s="36">
        <v>1</v>
      </c>
      <c r="C12" s="36">
        <v>2</v>
      </c>
      <c r="D12" s="36">
        <f t="shared" si="1"/>
        <v>521</v>
      </c>
      <c r="E12" s="36">
        <f t="shared" si="2"/>
        <v>522</v>
      </c>
      <c r="F12" s="36"/>
      <c r="G12" s="36"/>
      <c r="H12" s="49"/>
      <c r="I12" s="479"/>
      <c r="J12" s="69" t="s">
        <v>88</v>
      </c>
      <c r="K12" s="70">
        <f>SUMIF('[2]収益収入'!$AC$10:$AC$4011,'売上修正'!A12,'[2]収益収入'!$F$10:$F$4011)+SUMIF('[2]複合仕訳'!$G$15:$M$15,A12,'[2]複合仕訳'!$G$4:$M$4)</f>
        <v>0</v>
      </c>
      <c r="L12" s="71"/>
      <c r="M12" s="72">
        <f>K12</f>
        <v>0</v>
      </c>
      <c r="N12" s="73">
        <f>SUMIF('[2]収益収入'!$AC$10:$AC$4011,'売上修正'!A12,'[2]収益収入'!$AJ$10:$AJ$4011)+SUMIF('[2]複合仕訳'!$G$15:$M$15,A12,'[2]複合仕訳'!$G$5:$M$5)</f>
        <v>0</v>
      </c>
      <c r="O12" s="73">
        <f>SUMIF('[2]収益収入'!$AC$10:$AC$4011,'売上修正'!A12,'[2]収益収入'!$AK$10:$AK$4011)+SUMIF('[2]複合仕訳'!$G$15:$M$15,A12,'[2]複合仕訳'!$G$6:$M$6)</f>
        <v>0</v>
      </c>
      <c r="P12" s="365">
        <f t="shared" si="0"/>
        <v>0</v>
      </c>
      <c r="Q12" s="53">
        <f>SUMIF('[2]収益収入'!$AM$10:$AM$4011,'売上修正'!D12,'[2]収益収入'!$F$10:$F$4011)+SUMIF('[2]複合仕訳'!$AH$15:$AN$15,D12,'[2]複合仕訳'!$AH$17:$AN$17)</f>
        <v>0</v>
      </c>
      <c r="R12" s="51">
        <f>SUMIF('[2]収益収入'!$AM$10:$AM$4011,'売上修正'!E12,'[2]収益収入'!$F$10:$F$4011)+SUMIF('[2]複合仕訳'!$AH$16:$AN$16,E12,'[2]複合仕訳'!$AH$18:$AN$18)</f>
        <v>0</v>
      </c>
      <c r="S12" s="80"/>
      <c r="T12" s="81"/>
      <c r="U12" s="36"/>
    </row>
    <row r="13" spans="1:21" ht="24.75" customHeight="1" thickBot="1">
      <c r="A13" s="36"/>
      <c r="B13" s="36"/>
      <c r="C13" s="36"/>
      <c r="D13" s="36"/>
      <c r="E13" s="36"/>
      <c r="F13" s="36"/>
      <c r="G13" s="36"/>
      <c r="H13" s="49"/>
      <c r="I13" s="480"/>
      <c r="J13" s="82" t="s">
        <v>239</v>
      </c>
      <c r="K13" s="83">
        <f aca="true" t="shared" si="3" ref="K13:P13">SUM(K6:K12)</f>
        <v>0</v>
      </c>
      <c r="L13" s="83">
        <f t="shared" si="3"/>
        <v>0</v>
      </c>
      <c r="M13" s="83">
        <f t="shared" si="3"/>
        <v>0</v>
      </c>
      <c r="N13" s="83">
        <f t="shared" si="3"/>
        <v>0</v>
      </c>
      <c r="O13" s="83">
        <f t="shared" si="3"/>
        <v>0</v>
      </c>
      <c r="P13" s="367">
        <f t="shared" si="3"/>
        <v>0</v>
      </c>
      <c r="Q13" s="74">
        <f>SUM(Q6:Q12)</f>
        <v>0</v>
      </c>
      <c r="R13" s="83">
        <f>SUM(R6:R12)</f>
        <v>0</v>
      </c>
      <c r="S13" s="85"/>
      <c r="T13" s="86"/>
      <c r="U13" s="36"/>
    </row>
    <row r="14" spans="1:21" ht="6" customHeight="1">
      <c r="A14" s="36"/>
      <c r="B14" s="36"/>
      <c r="C14" s="36"/>
      <c r="D14" s="36"/>
      <c r="E14" s="36"/>
      <c r="F14" s="36"/>
      <c r="G14" s="36"/>
      <c r="H14" s="49"/>
      <c r="I14" s="87"/>
      <c r="J14" s="88"/>
      <c r="K14" s="89"/>
      <c r="L14" s="89"/>
      <c r="M14" s="89"/>
      <c r="N14" s="90"/>
      <c r="O14" s="90"/>
      <c r="P14" s="89"/>
      <c r="Q14" s="89"/>
      <c r="R14" s="89"/>
      <c r="S14" s="91"/>
      <c r="T14" s="92"/>
      <c r="U14" s="36"/>
    </row>
    <row r="15" spans="1:21" ht="6" customHeight="1" thickBot="1">
      <c r="A15" s="36"/>
      <c r="B15" s="36"/>
      <c r="C15" s="36"/>
      <c r="D15" s="36"/>
      <c r="E15" s="36"/>
      <c r="F15" s="36"/>
      <c r="G15" s="36"/>
      <c r="H15" s="49"/>
      <c r="I15" s="87"/>
      <c r="J15" s="88"/>
      <c r="K15" s="89"/>
      <c r="L15" s="89"/>
      <c r="M15" s="89"/>
      <c r="N15" s="89"/>
      <c r="O15" s="89"/>
      <c r="P15" s="89"/>
      <c r="Q15" s="89"/>
      <c r="R15" s="89"/>
      <c r="S15" s="91"/>
      <c r="T15" s="85"/>
      <c r="U15" s="36"/>
    </row>
    <row r="16" spans="1:21" ht="18" thickBot="1">
      <c r="A16" s="36"/>
      <c r="B16" s="36"/>
      <c r="C16" s="36"/>
      <c r="D16" s="36"/>
      <c r="E16" s="36"/>
      <c r="F16" s="36"/>
      <c r="G16" s="36"/>
      <c r="H16" s="37"/>
      <c r="I16" s="476"/>
      <c r="J16" s="93" t="s">
        <v>90</v>
      </c>
      <c r="K16" s="73">
        <f>SUMIF('[2]収益収入'!$X$10:$X$4011,40,'[2]収益収入'!$F$10:$F$4011)+SUMIF('[2]複合仕訳'!$G$15:$M$15,40,'[2]複合仕訳'!$G$4:$M$4)</f>
        <v>0</v>
      </c>
      <c r="L16" s="94"/>
      <c r="M16" s="95">
        <f>K16</f>
        <v>0</v>
      </c>
      <c r="N16" s="52">
        <f>K16</f>
        <v>0</v>
      </c>
      <c r="O16" s="52"/>
      <c r="P16" s="74">
        <f>M16-N16-O16</f>
        <v>0</v>
      </c>
      <c r="Q16" s="357"/>
      <c r="R16" s="357"/>
      <c r="S16" s="96"/>
      <c r="T16" s="97"/>
      <c r="U16" s="98"/>
    </row>
    <row r="17" spans="1:21" ht="36.75" thickBot="1">
      <c r="A17" s="36">
        <v>49</v>
      </c>
      <c r="B17" s="36">
        <v>1</v>
      </c>
      <c r="C17" s="36">
        <v>2</v>
      </c>
      <c r="D17" s="36">
        <f t="shared" si="1"/>
        <v>491</v>
      </c>
      <c r="E17" s="36">
        <f t="shared" si="2"/>
        <v>492</v>
      </c>
      <c r="F17" s="36"/>
      <c r="G17" s="36"/>
      <c r="H17" s="37"/>
      <c r="I17" s="477"/>
      <c r="J17" s="69" t="s">
        <v>91</v>
      </c>
      <c r="K17" s="73">
        <f>SUMIF('[2]収益収入'!$AC$10:$AC$4011,'売上修正'!A17,'[2]収益収入'!$F$10:$F$4011)+SUMIF('[2]複合仕訳'!$G$15:$M$15,A17,'[2]複合仕訳'!$G$4:$M$4)</f>
        <v>0</v>
      </c>
      <c r="L17" s="71"/>
      <c r="M17" s="72">
        <f>K17</f>
        <v>0</v>
      </c>
      <c r="N17" s="73">
        <f>SUMIF('[2]収益収入'!$AC$10:$AC$4011,'売上修正'!A17,'[2]収益収入'!$AJ$10:$AJ$4011)+SUMIF('[2]複合仕訳'!$G$15:$M$15,A17,'[2]複合仕訳'!$G$5:$M$5)</f>
        <v>0</v>
      </c>
      <c r="O17" s="73">
        <f>SUMIF('[2]収益収入'!$AC$10:$AC$4011,'売上修正'!A17,'[2]収益収入'!$AK$10:$AK$4011)+SUMIF('[2]複合仕訳'!$G$15:$M$15,A17,'[2]複合仕訳'!$G$6:$M$6)</f>
        <v>0</v>
      </c>
      <c r="P17" s="74">
        <f>M17-N17-O17</f>
        <v>0</v>
      </c>
      <c r="Q17" s="53">
        <f>SUMIF('[2]収益収入'!$AM$10:$AM$4011,'売上修正'!D17,'[2]収益収入'!$F$10:$F$4011)+SUMIF('[2]複合仕訳'!$AH$15:$AN$15,D17,'[2]複合仕訳'!$AH$17:$AN$17)</f>
        <v>0</v>
      </c>
      <c r="R17" s="51">
        <f>SUMIF('[2]収益収入'!$AM$10:$AM$4011,'売上修正'!E17,'[2]収益収入'!$F$10:$F$4011)+SUMIF('[2]複合仕訳'!$AH$16:$AN$16,E17,'[2]複合仕訳'!$AH$18:$AN$18)</f>
        <v>0</v>
      </c>
      <c r="S17" s="78"/>
      <c r="T17" s="79"/>
      <c r="U17" s="36"/>
    </row>
    <row r="18" spans="1:21" ht="36.75" thickBot="1">
      <c r="A18" s="36">
        <v>50</v>
      </c>
      <c r="B18" s="36">
        <v>1</v>
      </c>
      <c r="C18" s="36">
        <v>2</v>
      </c>
      <c r="D18" s="36">
        <f t="shared" si="1"/>
        <v>501</v>
      </c>
      <c r="E18" s="36">
        <f t="shared" si="2"/>
        <v>502</v>
      </c>
      <c r="F18" s="36"/>
      <c r="G18" s="36"/>
      <c r="H18" s="37"/>
      <c r="I18" s="477"/>
      <c r="J18" s="69" t="s">
        <v>92</v>
      </c>
      <c r="K18" s="73">
        <f>SUMIF('[2]収益収入'!$AC$10:$AC$4011,'売上修正'!A18,'[2]収益収入'!$F$10:$F$4011)+SUMIF('[2]複合仕訳'!$G$15:$M$15,A18,'[2]複合仕訳'!$G$4:$M$4)</f>
        <v>0</v>
      </c>
      <c r="L18" s="71"/>
      <c r="M18" s="72">
        <f>K18</f>
        <v>0</v>
      </c>
      <c r="N18" s="73">
        <f>SUMIF('[2]収益収入'!$AC$10:$AC$4011,'売上修正'!A18,'[2]収益収入'!$AJ$10:$AJ$4011)+SUMIF('[2]複合仕訳'!$G$15:$M$15,A18,'[2]複合仕訳'!$G$5:$M$5)</f>
        <v>0</v>
      </c>
      <c r="O18" s="73">
        <f>SUMIF('[2]収益収入'!$AC$10:$AC$4011,'売上修正'!A18,'[2]収益収入'!$AK$10:$AK$4011)+SUMIF('[2]複合仕訳'!$G$15:$M$15,A18,'[2]複合仕訳'!$G$6:$M$6)</f>
        <v>0</v>
      </c>
      <c r="P18" s="74">
        <f>M18-N18-O18</f>
        <v>0</v>
      </c>
      <c r="Q18" s="53">
        <f>SUMIF('[2]収益収入'!$AM$10:$AM$4011,'売上修正'!D18,'[2]収益収入'!$F$10:$F$4011)+SUMIF('[2]複合仕訳'!$AH$15:$AN$15,D18,'[2]複合仕訳'!$AH$17:$AN$17)</f>
        <v>0</v>
      </c>
      <c r="R18" s="51">
        <f>SUMIF('[2]収益収入'!$AM$10:$AM$4011,'売上修正'!E18,'[2]収益収入'!$F$10:$F$4011)+SUMIF('[2]複合仕訳'!$AH$16:$AN$16,E18,'[2]複合仕訳'!$AH$18:$AN$18)</f>
        <v>0</v>
      </c>
      <c r="S18" s="78"/>
      <c r="T18" s="79"/>
      <c r="U18" s="36"/>
    </row>
    <row r="19" spans="1:21" ht="26.25" customHeight="1" thickBot="1">
      <c r="A19" s="36">
        <v>48</v>
      </c>
      <c r="B19" s="36">
        <v>1</v>
      </c>
      <c r="C19" s="36">
        <v>2</v>
      </c>
      <c r="D19" s="36">
        <f t="shared" si="1"/>
        <v>481</v>
      </c>
      <c r="E19" s="36">
        <f t="shared" si="2"/>
        <v>482</v>
      </c>
      <c r="F19" s="36"/>
      <c r="G19" s="36"/>
      <c r="H19" s="37"/>
      <c r="I19" s="477"/>
      <c r="J19" s="69" t="s">
        <v>93</v>
      </c>
      <c r="K19" s="73">
        <f>SUMIF('[2]収益収入'!$AC$10:$AC$4011,'売上修正'!A19,'[2]収益収入'!$F$10:$F$4011)+SUMIF('[2]複合仕訳'!$G$15:$M$15,A19,'[2]複合仕訳'!$G$4:$M$4)</f>
        <v>0</v>
      </c>
      <c r="L19" s="71"/>
      <c r="M19" s="72">
        <f>K19</f>
        <v>0</v>
      </c>
      <c r="N19" s="73">
        <f>SUMIF('[2]収益収入'!$AC$10:$AC$4011,'売上修正'!A19,'[2]収益収入'!$AJ$10:$AJ$4011)+SUMIF('[2]複合仕訳'!$G$15:$M$15,A19,'[2]複合仕訳'!$G$5:$M$5)</f>
        <v>0</v>
      </c>
      <c r="O19" s="73">
        <f>SUMIF('[2]収益収入'!$AC$10:$AC$4011,'売上修正'!A19,'[2]収益収入'!$AK$10:$AK$4011)+SUMIF('[2]複合仕訳'!$G$15:$M$15,A19,'[2]複合仕訳'!$G$6:$M$6)</f>
        <v>0</v>
      </c>
      <c r="P19" s="74">
        <f>M19-N19-O19</f>
        <v>0</v>
      </c>
      <c r="Q19" s="53">
        <f>SUMIF('[2]収益収入'!$AM$10:$AM$4011,'売上修正'!D19,'[2]収益収入'!$F$10:$F$4011)+SUMIF('[2]複合仕訳'!$AH$15:$AN$15,D19,'[2]複合仕訳'!$AH$17:$AN$17)</f>
        <v>0</v>
      </c>
      <c r="R19" s="51">
        <f>SUMIF('[2]収益収入'!$AM$10:$AM$4011,'売上修正'!E19,'[2]収益収入'!$F$10:$F$4011)+SUMIF('[2]複合仕訳'!$AH$16:$AN$16,E19,'[2]複合仕訳'!$AH$18:$AN$18)</f>
        <v>0</v>
      </c>
      <c r="S19" s="80"/>
      <c r="T19" s="81"/>
      <c r="U19" s="36"/>
    </row>
    <row r="20" spans="1:21" ht="24" customHeight="1" thickBot="1">
      <c r="A20" s="36"/>
      <c r="B20" s="36"/>
      <c r="C20" s="36"/>
      <c r="D20" s="36"/>
      <c r="E20" s="36"/>
      <c r="F20" s="36"/>
      <c r="G20" s="36"/>
      <c r="H20" s="37"/>
      <c r="I20" s="477"/>
      <c r="J20" s="99" t="s">
        <v>94</v>
      </c>
      <c r="K20" s="84">
        <f aca="true" t="shared" si="4" ref="K20:P20">SUM(K17:K19)</f>
        <v>0</v>
      </c>
      <c r="L20" s="84">
        <f t="shared" si="4"/>
        <v>0</v>
      </c>
      <c r="M20" s="84">
        <f t="shared" si="4"/>
        <v>0</v>
      </c>
      <c r="N20" s="84">
        <f t="shared" si="4"/>
        <v>0</v>
      </c>
      <c r="O20" s="84">
        <f t="shared" si="4"/>
        <v>0</v>
      </c>
      <c r="P20" s="84">
        <f t="shared" si="4"/>
        <v>0</v>
      </c>
      <c r="Q20" s="84">
        <f>SUM(Q17:Q19)</f>
        <v>0</v>
      </c>
      <c r="R20" s="84">
        <f>SUM(R17:R19)</f>
        <v>0</v>
      </c>
      <c r="S20" s="423"/>
      <c r="T20" s="424"/>
      <c r="U20" s="36"/>
    </row>
    <row r="21" spans="1:21" ht="18" thickBot="1">
      <c r="A21" s="36"/>
      <c r="B21" s="36"/>
      <c r="C21" s="36"/>
      <c r="D21" s="36"/>
      <c r="E21" s="36"/>
      <c r="F21" s="36"/>
      <c r="G21" s="36"/>
      <c r="H21" s="37"/>
      <c r="I21" s="478"/>
      <c r="J21" s="100" t="s">
        <v>239</v>
      </c>
      <c r="K21" s="84">
        <f>K16+K20</f>
        <v>0</v>
      </c>
      <c r="L21" s="84">
        <f>L16+L20</f>
        <v>0</v>
      </c>
      <c r="M21" s="84">
        <f aca="true" t="shared" si="5" ref="M21:R21">M16+M20</f>
        <v>0</v>
      </c>
      <c r="N21" s="84">
        <f t="shared" si="5"/>
        <v>0</v>
      </c>
      <c r="O21" s="84">
        <f t="shared" si="5"/>
        <v>0</v>
      </c>
      <c r="P21" s="84">
        <f t="shared" si="5"/>
        <v>0</v>
      </c>
      <c r="Q21" s="84">
        <f t="shared" si="5"/>
        <v>0</v>
      </c>
      <c r="R21" s="84">
        <f t="shared" si="5"/>
        <v>0</v>
      </c>
      <c r="S21" s="423"/>
      <c r="T21" s="424"/>
      <c r="U21" s="36"/>
    </row>
    <row r="22" spans="1:21" ht="6.75" customHeight="1">
      <c r="A22" s="36"/>
      <c r="B22" s="36"/>
      <c r="C22" s="36"/>
      <c r="D22" s="36"/>
      <c r="E22" s="36"/>
      <c r="F22" s="36"/>
      <c r="G22" s="36"/>
      <c r="H22" s="37"/>
      <c r="I22" s="101"/>
      <c r="J22" s="102"/>
      <c r="K22" s="89"/>
      <c r="L22" s="89"/>
      <c r="M22" s="89"/>
      <c r="N22" s="89"/>
      <c r="O22" s="89"/>
      <c r="P22" s="89"/>
      <c r="Q22" s="89"/>
      <c r="R22" s="89"/>
      <c r="S22" s="103"/>
      <c r="T22" s="103"/>
      <c r="U22" s="36"/>
    </row>
    <row r="23" spans="1:21" ht="6.75" customHeight="1" hidden="1" thickBot="1">
      <c r="A23" s="98"/>
      <c r="B23" s="98"/>
      <c r="C23" s="98"/>
      <c r="D23" s="98"/>
      <c r="E23" s="98"/>
      <c r="F23" s="98"/>
      <c r="G23" s="98"/>
      <c r="H23" s="104"/>
      <c r="I23" s="87"/>
      <c r="J23" s="105"/>
      <c r="K23" s="89"/>
      <c r="L23" s="89"/>
      <c r="M23" s="89"/>
      <c r="N23" s="89"/>
      <c r="O23" s="89"/>
      <c r="P23" s="89"/>
      <c r="Q23" s="89"/>
      <c r="R23" s="89"/>
      <c r="S23" s="103"/>
      <c r="T23" s="103"/>
      <c r="U23" s="98"/>
    </row>
    <row r="24" spans="1:21" ht="18" customHeight="1" hidden="1" thickBot="1">
      <c r="A24" s="36"/>
      <c r="B24" s="36"/>
      <c r="C24" s="36"/>
      <c r="D24" s="36"/>
      <c r="E24" s="36"/>
      <c r="F24" s="36"/>
      <c r="G24" s="36"/>
      <c r="H24" s="36"/>
      <c r="I24" s="486"/>
      <c r="J24" s="487" t="s">
        <v>76</v>
      </c>
      <c r="K24" s="489" t="s">
        <v>77</v>
      </c>
      <c r="L24" s="106"/>
      <c r="M24" s="106"/>
      <c r="N24" s="491" t="s">
        <v>80</v>
      </c>
      <c r="O24" s="492"/>
      <c r="P24" s="481" t="s">
        <v>81</v>
      </c>
      <c r="Q24" s="106"/>
      <c r="R24" s="106"/>
      <c r="S24" s="36"/>
      <c r="T24" s="36"/>
      <c r="U24" s="36"/>
    </row>
    <row r="25" spans="1:21" ht="18" customHeight="1" hidden="1" thickBot="1">
      <c r="A25" s="36"/>
      <c r="B25" s="36"/>
      <c r="C25" s="36"/>
      <c r="D25" s="36"/>
      <c r="E25" s="36"/>
      <c r="F25" s="36"/>
      <c r="G25" s="36"/>
      <c r="H25" s="36"/>
      <c r="I25" s="486"/>
      <c r="J25" s="488"/>
      <c r="K25" s="490"/>
      <c r="L25" s="107"/>
      <c r="M25" s="107"/>
      <c r="N25" s="108" t="s">
        <v>83</v>
      </c>
      <c r="O25" s="108" t="s">
        <v>84</v>
      </c>
      <c r="P25" s="482"/>
      <c r="Q25" s="107"/>
      <c r="R25" s="107"/>
      <c r="S25" s="36"/>
      <c r="T25" s="36"/>
      <c r="U25" s="36"/>
    </row>
    <row r="26" spans="1:21" ht="18" customHeight="1" hidden="1" thickBot="1">
      <c r="A26" s="36"/>
      <c r="B26" s="36"/>
      <c r="C26" s="36"/>
      <c r="D26" s="36"/>
      <c r="E26" s="36"/>
      <c r="F26" s="36"/>
      <c r="G26" s="36"/>
      <c r="H26" s="36"/>
      <c r="I26" s="483" t="s">
        <v>95</v>
      </c>
      <c r="J26" s="110" t="str">
        <f>'不動産売上仕入修正'!C6</f>
        <v>賃貸料</v>
      </c>
      <c r="K26" s="111">
        <f>'不動産売上仕入修正'!D6</f>
        <v>0</v>
      </c>
      <c r="L26" s="111"/>
      <c r="M26" s="111"/>
      <c r="N26" s="111">
        <f>'不動産売上仕入修正'!G6</f>
        <v>0</v>
      </c>
      <c r="O26" s="112">
        <f>'不動産売上仕入修正'!H6</f>
        <v>0</v>
      </c>
      <c r="P26" s="74">
        <f>'不動産売上仕入修正'!I6</f>
        <v>0</v>
      </c>
      <c r="Q26" s="111"/>
      <c r="R26" s="111"/>
      <c r="S26" s="36"/>
      <c r="T26" s="36"/>
      <c r="U26" s="36"/>
    </row>
    <row r="27" spans="1:21" ht="35.25" customHeight="1" hidden="1" thickBot="1">
      <c r="A27" s="36"/>
      <c r="B27" s="36"/>
      <c r="C27" s="36"/>
      <c r="D27" s="36"/>
      <c r="E27" s="36"/>
      <c r="F27" s="36"/>
      <c r="G27" s="36"/>
      <c r="H27" s="36"/>
      <c r="I27" s="484"/>
      <c r="J27" s="113" t="str">
        <f>'不動産売上仕入修正'!C7</f>
        <v>礼金・権利金
更新料</v>
      </c>
      <c r="K27" s="111">
        <f>'不動産売上仕入修正'!D7</f>
        <v>0</v>
      </c>
      <c r="L27" s="111"/>
      <c r="M27" s="111"/>
      <c r="N27" s="111">
        <f>'不動産売上仕入修正'!G7</f>
        <v>0</v>
      </c>
      <c r="O27" s="112">
        <f>'不動産売上仕入修正'!H7</f>
        <v>0</v>
      </c>
      <c r="P27" s="74">
        <f>'不動産売上仕入修正'!I7</f>
        <v>0</v>
      </c>
      <c r="Q27" s="111"/>
      <c r="R27" s="111"/>
      <c r="S27" s="36"/>
      <c r="T27" s="36"/>
      <c r="U27" s="36"/>
    </row>
    <row r="28" spans="1:21" ht="18" customHeight="1" hidden="1" thickBot="1">
      <c r="A28" s="36"/>
      <c r="B28" s="36"/>
      <c r="C28" s="36"/>
      <c r="D28" s="36"/>
      <c r="E28" s="36"/>
      <c r="F28" s="36"/>
      <c r="G28" s="36"/>
      <c r="H28" s="36"/>
      <c r="I28" s="484"/>
      <c r="J28" s="114">
        <f>'不動産売上仕入修正'!C8</f>
        <v>0</v>
      </c>
      <c r="K28" s="111">
        <f>'不動産売上仕入修正'!D8</f>
        <v>0</v>
      </c>
      <c r="L28" s="111"/>
      <c r="M28" s="111"/>
      <c r="N28" s="111">
        <f>'不動産売上仕入修正'!G8</f>
        <v>0</v>
      </c>
      <c r="O28" s="112">
        <f>'不動産売上仕入修正'!H8</f>
        <v>0</v>
      </c>
      <c r="P28" s="74">
        <f>'不動産売上仕入修正'!I8</f>
        <v>0</v>
      </c>
      <c r="Q28" s="111"/>
      <c r="R28" s="111"/>
      <c r="S28" s="36"/>
      <c r="T28" s="36"/>
      <c r="U28" s="36"/>
    </row>
    <row r="29" spans="1:21" ht="18.75" customHeight="1" hidden="1" thickBot="1">
      <c r="A29" s="36"/>
      <c r="B29" s="36"/>
      <c r="C29" s="36"/>
      <c r="D29" s="36"/>
      <c r="E29" s="36"/>
      <c r="F29" s="36"/>
      <c r="G29" s="36"/>
      <c r="H29" s="36"/>
      <c r="I29" s="485"/>
      <c r="J29" s="115" t="str">
        <f>'不動産売上仕入修正'!C9</f>
        <v>合計</v>
      </c>
      <c r="K29" s="84">
        <f>'不動産売上仕入修正'!D9</f>
        <v>0</v>
      </c>
      <c r="L29" s="84"/>
      <c r="M29" s="84"/>
      <c r="N29" s="84">
        <f>'不動産売上仕入修正'!G9</f>
        <v>0</v>
      </c>
      <c r="O29" s="83">
        <f>'不動産売上仕入修正'!H9</f>
        <v>0</v>
      </c>
      <c r="P29" s="84">
        <f>'不動産売上仕入修正'!I9</f>
        <v>0</v>
      </c>
      <c r="Q29" s="84"/>
      <c r="R29" s="84"/>
      <c r="S29" s="36"/>
      <c r="T29" s="36"/>
      <c r="U29" s="36"/>
    </row>
    <row r="30" spans="1:21" ht="18" customHeight="1" hidden="1">
      <c r="A30" s="36"/>
      <c r="B30" s="36"/>
      <c r="C30" s="36"/>
      <c r="D30" s="36"/>
      <c r="E30" s="36"/>
      <c r="F30" s="36"/>
      <c r="G30" s="36"/>
      <c r="H30" s="36"/>
      <c r="I30" s="116"/>
      <c r="J30" s="117"/>
      <c r="K30" s="89"/>
      <c r="L30" s="89"/>
      <c r="M30" s="89"/>
      <c r="N30" s="89"/>
      <c r="O30" s="89"/>
      <c r="P30" s="89"/>
      <c r="Q30" s="89"/>
      <c r="R30" s="89"/>
      <c r="S30" s="36"/>
      <c r="T30" s="36"/>
      <c r="U30" s="36"/>
    </row>
    <row r="31" spans="1:21" ht="18">
      <c r="A31" s="36"/>
      <c r="B31" s="36"/>
      <c r="C31" s="36"/>
      <c r="D31" s="36"/>
      <c r="E31" s="36"/>
      <c r="F31" s="36"/>
      <c r="G31" s="36"/>
      <c r="H31" s="37"/>
      <c r="I31" s="38"/>
      <c r="J31" s="406">
        <v>0.04</v>
      </c>
      <c r="K31" s="408" t="s">
        <v>556</v>
      </c>
      <c r="L31" s="408" t="s">
        <v>555</v>
      </c>
      <c r="M31" s="40"/>
      <c r="N31" s="40"/>
      <c r="O31" s="40"/>
      <c r="P31" s="407">
        <v>0.063</v>
      </c>
      <c r="Q31" s="408" t="s">
        <v>556</v>
      </c>
      <c r="R31" s="408" t="s">
        <v>555</v>
      </c>
      <c r="S31" s="40"/>
      <c r="T31" s="40"/>
      <c r="U31" s="36"/>
    </row>
    <row r="32" spans="1:18" ht="15">
      <c r="A32" s="36">
        <v>21</v>
      </c>
      <c r="B32" s="36">
        <v>22</v>
      </c>
      <c r="C32" s="36"/>
      <c r="D32" s="36"/>
      <c r="E32" s="36"/>
      <c r="F32" s="36"/>
      <c r="H32" s="37"/>
      <c r="I32" s="38"/>
      <c r="J32" s="318" t="s">
        <v>240</v>
      </c>
      <c r="K32" s="425">
        <f>SUMIF('[2]収益収入'!AI$10:AI$4011,A32,'[2]収益収入'!F$10:F$4011)+SUMIF('[2]複合仕訳'!$AH$20:$AN$20,A32,'[2]複合仕訳'!AH$17:AN$17)</f>
        <v>0</v>
      </c>
      <c r="L32" s="425">
        <f>INT(K32*100/105)</f>
        <v>0</v>
      </c>
      <c r="P32" s="318" t="s">
        <v>240</v>
      </c>
      <c r="Q32" s="425">
        <f>SUMIF('[2]収益収入'!AI$10:AI$4011,B32,'[2]収益収入'!F$10:F$4011)+SUMIF('[2]複合仕訳'!$AH$21:$AN$21,B32,'[2]複合仕訳'!AH$18:AN$18)</f>
        <v>0</v>
      </c>
      <c r="R32" s="425">
        <f>INT(Q32*100/108)</f>
        <v>0</v>
      </c>
    </row>
    <row r="33" spans="1:18" ht="15">
      <c r="A33" s="36">
        <v>31</v>
      </c>
      <c r="B33" s="36">
        <v>32</v>
      </c>
      <c r="C33" s="36"/>
      <c r="D33" s="36"/>
      <c r="E33" s="36"/>
      <c r="F33" s="36"/>
      <c r="H33" s="49"/>
      <c r="I33" s="87"/>
      <c r="J33" s="318" t="s">
        <v>241</v>
      </c>
      <c r="K33" s="425">
        <f>SUMIF('[2]収益収入'!AI$10:AI$4011,A33,'[2]収益収入'!F$10:F$4011)+SUMIF('[2]複合仕訳'!$AH$20:$AN$20,A33,'[2]複合仕訳'!AH$17:AN$17)-S6-S8-T8</f>
        <v>0</v>
      </c>
      <c r="L33" s="425">
        <f>INT(K33*100/105)</f>
        <v>0</v>
      </c>
      <c r="P33" s="318" t="s">
        <v>241</v>
      </c>
      <c r="Q33" s="425">
        <f>SUMIF('[2]収益収入'!AI$10:AI$4011,B33,'[2]収益収入'!F$10:F$4011)+SUMIF('[2]複合仕訳'!$AH$21:$AN$21,B33,'[2]複合仕訳'!AH$18:AN$18)</f>
        <v>0</v>
      </c>
      <c r="R33" s="425">
        <f>INT(Q33*100/108)</f>
        <v>0</v>
      </c>
    </row>
    <row r="34" spans="1:18" ht="15">
      <c r="A34" s="36">
        <v>41</v>
      </c>
      <c r="B34" s="36">
        <v>42</v>
      </c>
      <c r="C34" s="36"/>
      <c r="D34" s="36"/>
      <c r="E34" s="36"/>
      <c r="F34" s="36"/>
      <c r="H34" s="37"/>
      <c r="I34" s="38"/>
      <c r="J34" s="318" t="s">
        <v>242</v>
      </c>
      <c r="K34" s="425">
        <f>SUMIF('[2]収益収入'!AI$10:AI$4011,A34,'[2]収益収入'!F$10:F$4011)+SUMIF('[2]複合仕訳'!$AH$20:$AN$20,A34,'[2]複合仕訳'!AH$17:AN$17)</f>
        <v>0</v>
      </c>
      <c r="L34" s="425">
        <f>INT(K34*100/105)</f>
        <v>0</v>
      </c>
      <c r="P34" s="318" t="s">
        <v>242</v>
      </c>
      <c r="Q34" s="425">
        <f>SUMIF('[2]収益収入'!AI$10:AI$4011,B34,'[2]収益収入'!F$10:F$4011)+SUMIF('[2]複合仕訳'!$AH$21:$AN$21,B34,'[2]複合仕訳'!AH$18:AN$18)</f>
        <v>0</v>
      </c>
      <c r="R34" s="425">
        <f>INT(Q34*100/108)</f>
        <v>0</v>
      </c>
    </row>
    <row r="35" spans="1:18" ht="15">
      <c r="A35" s="36">
        <v>51</v>
      </c>
      <c r="B35" s="36">
        <v>52</v>
      </c>
      <c r="C35" s="36"/>
      <c r="D35" s="36"/>
      <c r="E35" s="36"/>
      <c r="F35" s="36"/>
      <c r="H35" s="49"/>
      <c r="I35" s="87"/>
      <c r="J35" s="318" t="s">
        <v>243</v>
      </c>
      <c r="K35" s="425">
        <f>SUMIF('[2]収益収入'!AI$10:AI$4011,A35,'[2]収益収入'!F$10:F$4011)+SUMIF('[2]複合仕訳'!$AH$20:$AN$20,A35,'[2]複合仕訳'!AH$17:AN$17)</f>
        <v>0</v>
      </c>
      <c r="L35" s="425">
        <f>INT(K35*100/105)</f>
        <v>0</v>
      </c>
      <c r="P35" s="318" t="s">
        <v>243</v>
      </c>
      <c r="Q35" s="425">
        <f>SUMIF('[2]収益収入'!AI$10:AI$4011,B35,'[2]収益収入'!F$10:F$4011)+SUMIF('[2]複合仕訳'!$AH$21:$AN$21,B35,'[2]複合仕訳'!AH$18:AN$18)</f>
        <v>0</v>
      </c>
      <c r="R35" s="425">
        <f>INT(Q35*100/108)</f>
        <v>0</v>
      </c>
    </row>
    <row r="36" spans="10:12" ht="15" hidden="1">
      <c r="J36" s="317"/>
      <c r="K36" s="317"/>
      <c r="L36" s="317"/>
    </row>
    <row r="37" ht="15" hidden="1"/>
    <row r="38" ht="15" hidden="1"/>
    <row r="39" ht="15" hidden="1"/>
    <row r="41" ht="17.25">
      <c r="J41" s="118" t="s">
        <v>96</v>
      </c>
    </row>
    <row r="42" ht="18">
      <c r="J42" s="426">
        <f>N13+N21+SUM('不動産売上仕入修正'!J8:J10)</f>
        <v>0</v>
      </c>
    </row>
    <row r="43" ht="18">
      <c r="J43" s="39"/>
    </row>
    <row r="44" ht="18">
      <c r="J44" s="422"/>
    </row>
  </sheetData>
  <sheetProtection/>
  <mergeCells count="20">
    <mergeCell ref="Q3:Q5"/>
    <mergeCell ref="R3:R5"/>
    <mergeCell ref="S4:S5"/>
    <mergeCell ref="T4:T5"/>
    <mergeCell ref="S3:T3"/>
    <mergeCell ref="P3:P5"/>
    <mergeCell ref="J2:O2"/>
    <mergeCell ref="I3:J5"/>
    <mergeCell ref="N3:O4"/>
    <mergeCell ref="K3:K5"/>
    <mergeCell ref="L3:L5"/>
    <mergeCell ref="M3:M5"/>
    <mergeCell ref="I16:I21"/>
    <mergeCell ref="I6:I13"/>
    <mergeCell ref="P24:P25"/>
    <mergeCell ref="I26:I29"/>
    <mergeCell ref="I24:I25"/>
    <mergeCell ref="J24:J25"/>
    <mergeCell ref="K24:K25"/>
    <mergeCell ref="N24:O24"/>
  </mergeCells>
  <dataValidations count="1">
    <dataValidation allowBlank="1" showInputMessage="1" showErrorMessage="1" imeMode="off" sqref="S6:T23 N13:O16 N20:O23 L6:M23 P6:P23 N26:P30 Q13:R15 K13:K15 Q20:R23 K20:K23"/>
  </dataValidations>
  <printOptions horizontalCentered="1"/>
  <pageMargins left="0.2" right="0.55" top="0.59" bottom="0.51" header="0.5118110236220472" footer="0.5118110236220472"/>
  <pageSetup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codeName="Sheet30">
    <tabColor indexed="50"/>
  </sheetPr>
  <dimension ref="A1:W52"/>
  <sheetViews>
    <sheetView zoomScale="75" zoomScaleNormal="75" zoomScalePageLayoutView="0" workbookViewId="0" topLeftCell="I1">
      <selection activeCell="A1" sqref="A1:IV16384"/>
    </sheetView>
  </sheetViews>
  <sheetFormatPr defaultColWidth="10.00390625" defaultRowHeight="13.5"/>
  <cols>
    <col min="1" max="3" width="9.00390625" style="4" hidden="1" customWidth="1"/>
    <col min="4" max="4" width="2.625" style="4" hidden="1" customWidth="1"/>
    <col min="5" max="6" width="9.00390625" style="4" hidden="1" customWidth="1"/>
    <col min="7" max="8" width="10.125" style="383" hidden="1" customWidth="1"/>
    <col min="9" max="9" width="2.625" style="4" customWidth="1"/>
    <col min="10" max="10" width="5.50390625" style="4" customWidth="1"/>
    <col min="11" max="11" width="34.00390625" style="4" customWidth="1"/>
    <col min="12" max="14" width="14.50390625" style="4" customWidth="1"/>
    <col min="15" max="16" width="18.625" style="4" customWidth="1"/>
    <col min="17" max="17" width="5.50390625" style="4" customWidth="1"/>
    <col min="18" max="18" width="10.00390625" style="4" customWidth="1"/>
    <col min="19" max="19" width="46.50390625" style="4" customWidth="1"/>
    <col min="20" max="20" width="15.125" style="4" customWidth="1"/>
    <col min="21" max="21" width="19.00390625" style="4" customWidth="1"/>
    <col min="22" max="22" width="17.875" style="4" customWidth="1"/>
    <col min="23" max="23" width="19.50390625" style="4" customWidth="1"/>
    <col min="24" max="16384" width="10.00390625" style="4" customWidth="1"/>
  </cols>
  <sheetData>
    <row r="1" spans="1:17" ht="24.75" customHeight="1">
      <c r="A1" s="36"/>
      <c r="B1" s="36"/>
      <c r="C1" s="36"/>
      <c r="D1" s="36"/>
      <c r="E1" s="36"/>
      <c r="F1" s="36"/>
      <c r="G1" s="380"/>
      <c r="H1" s="380"/>
      <c r="I1" s="36"/>
      <c r="J1" s="104"/>
      <c r="K1" s="36"/>
      <c r="L1" s="40"/>
      <c r="M1" s="40"/>
      <c r="N1" s="40"/>
      <c r="O1" s="1"/>
      <c r="P1" s="157"/>
      <c r="Q1" s="119"/>
    </row>
    <row r="2" spans="1:17" ht="42" customHeight="1" thickBot="1">
      <c r="A2" s="98"/>
      <c r="B2" s="98"/>
      <c r="C2" s="98"/>
      <c r="D2" s="98"/>
      <c r="E2" s="98"/>
      <c r="F2" s="98"/>
      <c r="G2" s="381"/>
      <c r="H2" s="381"/>
      <c r="I2" s="98"/>
      <c r="J2" s="104"/>
      <c r="K2" s="574" t="s">
        <v>97</v>
      </c>
      <c r="L2" s="574"/>
      <c r="M2" s="120"/>
      <c r="N2" s="120"/>
      <c r="Q2" s="36"/>
    </row>
    <row r="3" spans="1:17" ht="17.25" customHeight="1">
      <c r="A3" s="36"/>
      <c r="B3" s="36"/>
      <c r="C3" s="36"/>
      <c r="D3" s="36"/>
      <c r="E3" s="36"/>
      <c r="F3" s="36"/>
      <c r="G3" s="380"/>
      <c r="H3" s="380"/>
      <c r="I3" s="36"/>
      <c r="J3" s="572"/>
      <c r="K3" s="564" t="s">
        <v>76</v>
      </c>
      <c r="L3" s="566" t="s">
        <v>98</v>
      </c>
      <c r="M3" s="561" t="s">
        <v>99</v>
      </c>
      <c r="N3" s="559" t="s">
        <v>100</v>
      </c>
      <c r="O3" s="370"/>
      <c r="P3" s="371"/>
      <c r="Q3" s="36"/>
    </row>
    <row r="4" spans="1:17" ht="38.25" customHeight="1" thickBot="1">
      <c r="A4" s="121"/>
      <c r="B4" s="121"/>
      <c r="C4" s="121"/>
      <c r="D4" s="121"/>
      <c r="E4" s="121"/>
      <c r="F4" s="121"/>
      <c r="G4" s="380"/>
      <c r="H4" s="380"/>
      <c r="I4" s="121"/>
      <c r="J4" s="573"/>
      <c r="K4" s="565"/>
      <c r="L4" s="567"/>
      <c r="M4" s="568"/>
      <c r="N4" s="560"/>
      <c r="O4" s="378" t="s">
        <v>542</v>
      </c>
      <c r="P4" s="379" t="s">
        <v>543</v>
      </c>
      <c r="Q4" s="36"/>
    </row>
    <row r="5" spans="1:23" ht="15">
      <c r="A5" s="36">
        <v>1</v>
      </c>
      <c r="B5" s="37"/>
      <c r="C5" s="37"/>
      <c r="D5" s="37"/>
      <c r="E5" s="37">
        <v>1</v>
      </c>
      <c r="F5" s="37">
        <v>2</v>
      </c>
      <c r="G5" s="380">
        <f>$A5*10+E5</f>
        <v>11</v>
      </c>
      <c r="H5" s="380">
        <f>$A5*10+F5</f>
        <v>12</v>
      </c>
      <c r="I5" s="36"/>
      <c r="J5" s="577" t="s">
        <v>85</v>
      </c>
      <c r="K5" s="414" t="str">
        <f>IF(L5=0,"***",+'[2]ﾒﾆｭｰ'!H4)</f>
        <v>***</v>
      </c>
      <c r="L5" s="122">
        <f>SUMIF('[2]費用支出'!$X$10:$X$4011,'仕入修正'!A5,'[2]費用支出'!$O$10:$O$4011)+SUMIF('[2]複合仕訳'!$N$15:$W$15,A5,'[2]複合仕訳'!$N$4:$W$4)</f>
        <v>0</v>
      </c>
      <c r="M5" s="123">
        <f>SUMIF('[2]費用支出'!$X$10:$X$4011,'仕入修正'!A5,'[2]費用支出'!$AI$10:$AI$4011)+SUMIF('[2]複合仕訳'!$N$15:$W$15,A5,'[2]複合仕訳'!$N$7:$W$7)</f>
        <v>0</v>
      </c>
      <c r="N5" s="369">
        <f aca="true" t="shared" si="0" ref="N5:N33">L5-M5</f>
        <v>0</v>
      </c>
      <c r="O5" s="376">
        <f>SUMIF('[2]費用支出'!$AM$10:$AM$4011,'仕入修正'!G5,'[2]費用支出'!$O$10:$O$4011)+SUMIF('[2]複合仕訳'!$AO$15:$AX$15,G5,'[2]複合仕訳'!$AO$17:$AX$17)</f>
        <v>0</v>
      </c>
      <c r="P5" s="377">
        <f>SUMIF('[2]費用支出'!$AM$10:$AM$4011,'仕入修正'!H5,'[2]費用支出'!$O$10:$O$4011)+SUMIF('[2]複合仕訳'!$AO$16:$AX$16,H5,'[2]複合仕訳'!$AO$18:$AX$18)</f>
        <v>0</v>
      </c>
      <c r="R5" s="539">
        <f>IF(OR('最初'!C8=0,'最初'!C8=""),"",VLOOKUP('最初'!C8,'最初'!$D$12:$E$14,2,0))</f>
      </c>
      <c r="S5" s="540"/>
      <c r="T5" s="540"/>
      <c r="U5" s="540"/>
      <c r="V5" s="541"/>
      <c r="W5" s="536" t="s">
        <v>101</v>
      </c>
    </row>
    <row r="6" spans="1:23" ht="15">
      <c r="A6" s="36">
        <v>2</v>
      </c>
      <c r="B6" s="36">
        <v>3</v>
      </c>
      <c r="C6" s="37"/>
      <c r="D6" s="37"/>
      <c r="E6" s="37"/>
      <c r="F6" s="37"/>
      <c r="G6" s="382"/>
      <c r="H6" s="382"/>
      <c r="I6" s="36"/>
      <c r="J6" s="578"/>
      <c r="K6" s="124" t="str">
        <f>IF(L6=0,"***",+'[2]ﾒﾆｭｰ'!H5)</f>
        <v>***</v>
      </c>
      <c r="L6" s="125">
        <f>L44+L45</f>
        <v>0</v>
      </c>
      <c r="M6" s="125">
        <f>M44+M45</f>
        <v>0</v>
      </c>
      <c r="N6" s="264">
        <f t="shared" si="0"/>
        <v>0</v>
      </c>
      <c r="O6" s="125">
        <f>O44+O45</f>
        <v>0</v>
      </c>
      <c r="P6" s="444">
        <f>P44+P45</f>
        <v>0</v>
      </c>
      <c r="R6" s="542"/>
      <c r="S6" s="543"/>
      <c r="T6" s="543"/>
      <c r="U6" s="543"/>
      <c r="V6" s="544"/>
      <c r="W6" s="537"/>
    </row>
    <row r="7" spans="1:23" ht="15">
      <c r="A7" s="36">
        <v>4</v>
      </c>
      <c r="B7" s="36">
        <v>5</v>
      </c>
      <c r="C7" s="36">
        <v>6</v>
      </c>
      <c r="D7" s="36"/>
      <c r="E7" s="36"/>
      <c r="F7" s="36"/>
      <c r="G7" s="380"/>
      <c r="H7" s="380"/>
      <c r="I7" s="36"/>
      <c r="J7" s="578"/>
      <c r="K7" s="124" t="str">
        <f>IF(L7=0,"***","素畜費")</f>
        <v>***</v>
      </c>
      <c r="L7" s="125">
        <f>L46+L47+L48</f>
        <v>0</v>
      </c>
      <c r="M7" s="125">
        <f>M46+M47+M48</f>
        <v>0</v>
      </c>
      <c r="N7" s="264">
        <f t="shared" si="0"/>
        <v>0</v>
      </c>
      <c r="O7" s="125">
        <f>O46+O47+O48</f>
        <v>0</v>
      </c>
      <c r="P7" s="444">
        <f>P46+P47+P48</f>
        <v>0</v>
      </c>
      <c r="R7" s="542"/>
      <c r="S7" s="543"/>
      <c r="T7" s="543"/>
      <c r="U7" s="543"/>
      <c r="V7" s="544"/>
      <c r="W7" s="537"/>
    </row>
    <row r="8" spans="1:23" ht="15">
      <c r="A8" s="36">
        <v>7</v>
      </c>
      <c r="B8" s="37"/>
      <c r="C8" s="37"/>
      <c r="D8" s="37"/>
      <c r="E8" s="37">
        <v>1</v>
      </c>
      <c r="F8" s="37">
        <v>2</v>
      </c>
      <c r="G8" s="380">
        <f aca="true" t="shared" si="1" ref="G8:G29">$A8*10+E8</f>
        <v>71</v>
      </c>
      <c r="H8" s="380">
        <f aca="true" t="shared" si="2" ref="H8:H29">$A8*10+F8</f>
        <v>72</v>
      </c>
      <c r="I8" s="36"/>
      <c r="J8" s="578"/>
      <c r="K8" s="124" t="str">
        <f>IF(L8=0,"***",+'[2]ﾒﾆｭｰ'!H10)</f>
        <v>***</v>
      </c>
      <c r="L8" s="125">
        <f>SUMIF('[2]費用支出'!$X$10:$X$4011,'仕入修正'!A8,'[2]費用支出'!$O$10:$O$4011)+SUMIF('[2]複合仕訳'!$N$15:$W$15,A8,'[2]複合仕訳'!$N$4:$W$4)</f>
        <v>0</v>
      </c>
      <c r="M8" s="58">
        <f>SUMIF('[2]費用支出'!$X$10:$X$4011,'仕入修正'!A8,'[2]費用支出'!$AI$10:$AI$4011)+SUMIF('[2]複合仕訳'!$N$15:$W$15,A8,'[2]複合仕訳'!$N$7:$W$7)</f>
        <v>0</v>
      </c>
      <c r="N8" s="264">
        <f t="shared" si="0"/>
        <v>0</v>
      </c>
      <c r="O8" s="376">
        <f>SUMIF('[2]費用支出'!$AM$10:$AM$4011,'仕入修正'!G8,'[2]費用支出'!$O$10:$O$4011)+SUMIF('[2]複合仕訳'!$AO$15:$AX$15,G8,'[2]複合仕訳'!$AO$17:$AX$17)</f>
        <v>0</v>
      </c>
      <c r="P8" s="377">
        <f>SUMIF('[2]費用支出'!$AM$10:$AM$4011,'仕入修正'!H8,'[2]費用支出'!$O$10:$O$4011)+SUMIF('[2]複合仕訳'!$AO$16:$AX$16,H8,'[2]複合仕訳'!$AO$18:$AX$18)</f>
        <v>0</v>
      </c>
      <c r="R8" s="542"/>
      <c r="S8" s="543"/>
      <c r="T8" s="543"/>
      <c r="U8" s="543"/>
      <c r="V8" s="544"/>
      <c r="W8" s="537"/>
    </row>
    <row r="9" spans="1:23" ht="15">
      <c r="A9" s="36">
        <v>8</v>
      </c>
      <c r="B9" s="37"/>
      <c r="C9" s="37"/>
      <c r="D9" s="37"/>
      <c r="E9" s="37">
        <v>1</v>
      </c>
      <c r="F9" s="37">
        <v>2</v>
      </c>
      <c r="G9" s="380">
        <f t="shared" si="1"/>
        <v>81</v>
      </c>
      <c r="H9" s="380">
        <f t="shared" si="2"/>
        <v>82</v>
      </c>
      <c r="I9" s="36"/>
      <c r="J9" s="578"/>
      <c r="K9" s="124" t="str">
        <f>IF(L9=0,"***",+'[2]ﾒﾆｭｰ'!H11)</f>
        <v>***</v>
      </c>
      <c r="L9" s="125">
        <f>SUMIF('[2]費用支出'!$X$10:$X$4011,'仕入修正'!A9,'[2]費用支出'!$O$10:$O$4011)+SUMIF('[2]複合仕訳'!$N$15:$W$15,A9,'[2]複合仕訳'!$N$4:$W$4)</f>
        <v>0</v>
      </c>
      <c r="M9" s="58">
        <f>SUMIF('[2]費用支出'!$X$10:$X$4011,'仕入修正'!A9,'[2]費用支出'!$AI$10:$AI$4011)+SUMIF('[2]複合仕訳'!$N$15:$W$15,A9,'[2]複合仕訳'!$N$7:$W$7)</f>
        <v>0</v>
      </c>
      <c r="N9" s="264">
        <f t="shared" si="0"/>
        <v>0</v>
      </c>
      <c r="O9" s="376">
        <f>SUMIF('[2]費用支出'!$AM$10:$AM$4011,'仕入修正'!G9,'[2]費用支出'!$O$10:$O$4011)+SUMIF('[2]複合仕訳'!$AO$15:$AX$15,G9,'[2]複合仕訳'!$AO$17:$AX$17)</f>
        <v>0</v>
      </c>
      <c r="P9" s="377">
        <f>SUMIF('[2]費用支出'!$AM$10:$AM$4011,'仕入修正'!H9,'[2]費用支出'!$O$10:$O$4011)+SUMIF('[2]複合仕訳'!$AO$16:$AX$16,H9,'[2]複合仕訳'!$AO$18:$AX$18)</f>
        <v>0</v>
      </c>
      <c r="R9" s="542"/>
      <c r="S9" s="543"/>
      <c r="T9" s="543"/>
      <c r="U9" s="543"/>
      <c r="V9" s="544"/>
      <c r="W9" s="537"/>
    </row>
    <row r="10" spans="1:23" ht="15.75" thickBot="1">
      <c r="A10" s="36">
        <v>9</v>
      </c>
      <c r="B10" s="37"/>
      <c r="C10" s="37"/>
      <c r="D10" s="37"/>
      <c r="E10" s="37">
        <v>1</v>
      </c>
      <c r="F10" s="37">
        <v>2</v>
      </c>
      <c r="G10" s="380">
        <f t="shared" si="1"/>
        <v>91</v>
      </c>
      <c r="H10" s="380">
        <f t="shared" si="2"/>
        <v>92</v>
      </c>
      <c r="I10" s="36"/>
      <c r="J10" s="578"/>
      <c r="K10" s="124" t="str">
        <f>IF(L10=0,"***",+'[2]ﾒﾆｭｰ'!H12)</f>
        <v>***</v>
      </c>
      <c r="L10" s="125">
        <f>SUMIF('[2]費用支出'!$X$10:$X$4011,'仕入修正'!A10,'[2]費用支出'!$O$10:$O$4011)+SUMIF('[2]複合仕訳'!$N$15:$W$15,A10,'[2]複合仕訳'!$N$4:$W$4)</f>
        <v>0</v>
      </c>
      <c r="M10" s="58">
        <f>SUMIF('[2]費用支出'!$X$10:$X$4011,'仕入修正'!A10,'[2]費用支出'!$AI$10:$AI$4011)+SUMIF('[2]複合仕訳'!$N$15:$W$15,A10,'[2]複合仕訳'!$N$7:$W$7)</f>
        <v>0</v>
      </c>
      <c r="N10" s="264">
        <f t="shared" si="0"/>
        <v>0</v>
      </c>
      <c r="O10" s="376">
        <f>SUMIF('[2]費用支出'!$AM$10:$AM$4011,'仕入修正'!G10,'[2]費用支出'!$O$10:$O$4011)+SUMIF('[2]複合仕訳'!$AO$15:$AX$15,G10,'[2]複合仕訳'!$AO$17:$AX$17)</f>
        <v>0</v>
      </c>
      <c r="P10" s="377">
        <f>SUMIF('[2]費用支出'!$AM$10:$AM$4011,'仕入修正'!H10,'[2]費用支出'!$O$10:$O$4011)+SUMIF('[2]複合仕訳'!$AO$16:$AX$16,H10,'[2]複合仕訳'!$AO$18:$AX$18)</f>
        <v>0</v>
      </c>
      <c r="R10" s="545"/>
      <c r="S10" s="546"/>
      <c r="T10" s="546"/>
      <c r="U10" s="546"/>
      <c r="V10" s="547"/>
      <c r="W10" s="538"/>
    </row>
    <row r="11" spans="1:23" ht="15">
      <c r="A11" s="36">
        <v>10</v>
      </c>
      <c r="B11" s="37"/>
      <c r="C11" s="37"/>
      <c r="D11" s="37"/>
      <c r="E11" s="37">
        <v>1</v>
      </c>
      <c r="F11" s="37">
        <v>2</v>
      </c>
      <c r="G11" s="380">
        <f t="shared" si="1"/>
        <v>101</v>
      </c>
      <c r="H11" s="380">
        <f t="shared" si="2"/>
        <v>102</v>
      </c>
      <c r="I11" s="36"/>
      <c r="J11" s="578"/>
      <c r="K11" s="124" t="str">
        <f>IF(L11=0,"***",+'[2]ﾒﾆｭｰ'!H13)</f>
        <v>***</v>
      </c>
      <c r="L11" s="125">
        <f>SUMIF('[2]費用支出'!$X$10:$X$4011,'仕入修正'!A11,'[2]費用支出'!$O$10:$O$4011)+SUMIF('[2]複合仕訳'!$N$15:$W$15,A11,'[2]複合仕訳'!$N$4:$W$4)</f>
        <v>0</v>
      </c>
      <c r="M11" s="58">
        <f>SUMIF('[2]費用支出'!$X$10:$X$4011,'仕入修正'!A11,'[2]費用支出'!$AI$10:$AI$4011)+SUMIF('[2]複合仕訳'!$N$15:$W$15,A11,'[2]複合仕訳'!$N$7:$W$7)</f>
        <v>0</v>
      </c>
      <c r="N11" s="264">
        <f t="shared" si="0"/>
        <v>0</v>
      </c>
      <c r="O11" s="376">
        <f>SUMIF('[2]費用支出'!$AM$10:$AM$4011,'仕入修正'!G11,'[2]費用支出'!$O$10:$O$4011)+SUMIF('[2]複合仕訳'!$AO$15:$AX$15,G11,'[2]複合仕訳'!$AO$17:$AX$17)</f>
        <v>0</v>
      </c>
      <c r="P11" s="377">
        <f>SUMIF('[2]費用支出'!$AM$10:$AM$4011,'仕入修正'!H11,'[2]費用支出'!$O$10:$O$4011)+SUMIF('[2]複合仕訳'!$AO$16:$AX$16,H11,'[2]複合仕訳'!$AO$18:$AX$18)</f>
        <v>0</v>
      </c>
      <c r="R11" s="525" t="s">
        <v>102</v>
      </c>
      <c r="S11" s="528" t="s">
        <v>103</v>
      </c>
      <c r="T11" s="552" t="s">
        <v>104</v>
      </c>
      <c r="U11" s="124" t="str">
        <f>IF(+'[2]在庫'!E26=0,"***","期首生産物価額")</f>
        <v>***</v>
      </c>
      <c r="V11" s="127">
        <f>'[2]在庫'!E26</f>
        <v>0</v>
      </c>
      <c r="W11" s="128"/>
    </row>
    <row r="12" spans="1:23" ht="15">
      <c r="A12" s="36">
        <v>11</v>
      </c>
      <c r="B12" s="37"/>
      <c r="C12" s="37"/>
      <c r="D12" s="37"/>
      <c r="E12" s="37">
        <v>1</v>
      </c>
      <c r="F12" s="37">
        <v>2</v>
      </c>
      <c r="G12" s="380">
        <f t="shared" si="1"/>
        <v>111</v>
      </c>
      <c r="H12" s="380">
        <f t="shared" si="2"/>
        <v>112</v>
      </c>
      <c r="I12" s="36"/>
      <c r="J12" s="578"/>
      <c r="K12" s="124" t="str">
        <f>IF(L12=0,"***",+'[2]ﾒﾆｭｰ'!H14)</f>
        <v>***</v>
      </c>
      <c r="L12" s="125">
        <f>SUMIF('[2]費用支出'!$X$10:$X$4011,'仕入修正'!A12,'[2]費用支出'!$O$10:$O$4011)+SUMIF('[2]複合仕訳'!$N$15:$W$15,A12,'[2]複合仕訳'!$N$4:$W$4)</f>
        <v>0</v>
      </c>
      <c r="M12" s="58">
        <f>SUMIF('[2]費用支出'!$X$10:$X$4011,'仕入修正'!A12,'[2]費用支出'!$AI$10:$AI$4011)+SUMIF('[2]複合仕訳'!$N$15:$W$15,A12,'[2]複合仕訳'!$N$7:$W$7)</f>
        <v>0</v>
      </c>
      <c r="N12" s="264">
        <f t="shared" si="0"/>
        <v>0</v>
      </c>
      <c r="O12" s="376">
        <f>SUMIF('[2]費用支出'!$AM$10:$AM$4011,'仕入修正'!G12,'[2]費用支出'!$O$10:$O$4011)+SUMIF('[2]複合仕訳'!$AO$15:$AX$15,G12,'[2]複合仕訳'!$AO$17:$AX$17)</f>
        <v>0</v>
      </c>
      <c r="P12" s="377">
        <f>SUMIF('[2]費用支出'!$AM$10:$AM$4011,'仕入修正'!H12,'[2]費用支出'!$O$10:$O$4011)+SUMIF('[2]複合仕訳'!$AO$16:$AX$16,H12,'[2]複合仕訳'!$AO$18:$AX$18)</f>
        <v>0</v>
      </c>
      <c r="R12" s="526"/>
      <c r="S12" s="529"/>
      <c r="T12" s="553"/>
      <c r="U12" s="124" t="str">
        <f>IF(V12=0,"***","期首仕掛品")</f>
        <v>***</v>
      </c>
      <c r="V12" s="127">
        <f>'[2]在庫'!F33</f>
        <v>0</v>
      </c>
      <c r="W12" s="129"/>
    </row>
    <row r="13" spans="1:23" ht="15">
      <c r="A13" s="36">
        <v>12</v>
      </c>
      <c r="B13" s="37"/>
      <c r="C13" s="37"/>
      <c r="D13" s="37"/>
      <c r="E13" s="37">
        <v>1</v>
      </c>
      <c r="F13" s="37">
        <v>2</v>
      </c>
      <c r="G13" s="380">
        <f t="shared" si="1"/>
        <v>121</v>
      </c>
      <c r="H13" s="380">
        <f t="shared" si="2"/>
        <v>122</v>
      </c>
      <c r="I13" s="36"/>
      <c r="J13" s="578"/>
      <c r="K13" s="124" t="str">
        <f>IF(L13=0,"***",+'[2]ﾒﾆｭｰ'!H15)</f>
        <v>***</v>
      </c>
      <c r="L13" s="125">
        <f>SUMIF('[2]費用支出'!$X$10:$X$4011,'仕入修正'!A13,'[2]費用支出'!$O$10:$O$4011)+SUMIF('[2]複合仕訳'!$N$15:$W$15,A13,'[2]複合仕訳'!$N$4:$W$4)</f>
        <v>0</v>
      </c>
      <c r="M13" s="58">
        <f>SUMIF('[2]費用支出'!$X$10:$X$4011,'仕入修正'!A13,'[2]費用支出'!$AI$10:$AI$4011)+SUMIF('[2]複合仕訳'!$N$15:$W$15,A13,'[2]複合仕訳'!$N$7:$W$7)</f>
        <v>0</v>
      </c>
      <c r="N13" s="264">
        <f t="shared" si="0"/>
        <v>0</v>
      </c>
      <c r="O13" s="376">
        <f>SUMIF('[2]費用支出'!$AM$10:$AM$4011,'仕入修正'!G13,'[2]費用支出'!$O$10:$O$4011)+SUMIF('[2]複合仕訳'!$AO$15:$AX$15,G13,'[2]複合仕訳'!$AO$17:$AX$17)</f>
        <v>0</v>
      </c>
      <c r="P13" s="377">
        <f>SUMIF('[2]費用支出'!$AM$10:$AM$4011,'仕入修正'!H13,'[2]費用支出'!$O$10:$O$4011)+SUMIF('[2]複合仕訳'!$AO$16:$AX$16,H13,'[2]複合仕訳'!$AO$18:$AX$18)</f>
        <v>0</v>
      </c>
      <c r="R13" s="526"/>
      <c r="S13" s="529"/>
      <c r="T13" s="553"/>
      <c r="U13" s="555" t="str">
        <f>IF(V13=0,"***","期首肥育牛棚卸高")</f>
        <v>***</v>
      </c>
      <c r="V13" s="518">
        <f>'[2]損益計算書'!$D$44</f>
        <v>0</v>
      </c>
      <c r="W13" s="129"/>
    </row>
    <row r="14" spans="1:23" ht="15">
      <c r="A14" s="36">
        <v>13</v>
      </c>
      <c r="B14" s="37"/>
      <c r="C14" s="37"/>
      <c r="D14" s="37"/>
      <c r="E14" s="37">
        <v>1</v>
      </c>
      <c r="F14" s="37">
        <v>2</v>
      </c>
      <c r="G14" s="380">
        <f t="shared" si="1"/>
        <v>131</v>
      </c>
      <c r="H14" s="380">
        <f t="shared" si="2"/>
        <v>132</v>
      </c>
      <c r="I14" s="36"/>
      <c r="J14" s="578"/>
      <c r="K14" s="124" t="str">
        <f>IF(L14=0,"***",+'[2]ﾒﾆｭｰ'!H16)</f>
        <v>***</v>
      </c>
      <c r="L14" s="125">
        <f>SUMIF('[2]費用支出'!$X$10:$X$4011,'仕入修正'!A14,'[2]費用支出'!$O$10:$O$4011)+SUMIF('[2]複合仕訳'!$N$15:$W$15,A14,'[2]複合仕訳'!$N$4:$W$4)</f>
        <v>0</v>
      </c>
      <c r="M14" s="58">
        <f>SUMIF('[2]費用支出'!$X$10:$X$4011,'仕入修正'!A14,'[2]費用支出'!$AI$10:$AI$4011)+SUMIF('[2]複合仕訳'!$N$15:$W$15,A14,'[2]複合仕訳'!$N$7:$W$7)</f>
        <v>0</v>
      </c>
      <c r="N14" s="264">
        <f t="shared" si="0"/>
        <v>0</v>
      </c>
      <c r="O14" s="376">
        <f>SUMIF('[2]費用支出'!$AM$10:$AM$4011,'仕入修正'!G14,'[2]費用支出'!$O$10:$O$4011)+SUMIF('[2]複合仕訳'!$AO$15:$AX$15,G14,'[2]複合仕訳'!$AO$17:$AX$17)</f>
        <v>0</v>
      </c>
      <c r="P14" s="377">
        <f>SUMIF('[2]費用支出'!$AM$10:$AM$4011,'仕入修正'!H14,'[2]費用支出'!$O$10:$O$4011)+SUMIF('[2]複合仕訳'!$AO$16:$AX$16,H14,'[2]複合仕訳'!$AO$18:$AX$18)</f>
        <v>0</v>
      </c>
      <c r="R14" s="526"/>
      <c r="S14" s="529"/>
      <c r="T14" s="554"/>
      <c r="U14" s="556"/>
      <c r="V14" s="519"/>
      <c r="W14" s="129"/>
    </row>
    <row r="15" spans="1:23" ht="15">
      <c r="A15" s="36">
        <v>14</v>
      </c>
      <c r="B15" s="37"/>
      <c r="C15" s="37"/>
      <c r="D15" s="37"/>
      <c r="E15" s="37">
        <v>1</v>
      </c>
      <c r="F15" s="37">
        <v>2</v>
      </c>
      <c r="G15" s="380">
        <f t="shared" si="1"/>
        <v>141</v>
      </c>
      <c r="H15" s="380">
        <f t="shared" si="2"/>
        <v>142</v>
      </c>
      <c r="I15" s="36"/>
      <c r="J15" s="578"/>
      <c r="K15" s="124" t="str">
        <f>IF(L15=0,"***",+'[2]ﾒﾆｭｰ'!H17)</f>
        <v>***</v>
      </c>
      <c r="L15" s="125">
        <f>SUMIF('[2]費用支出'!$X$10:$X$4011,'仕入修正'!A15,'[2]費用支出'!$O$10:$O$4011)+SUMIF('[2]複合仕訳'!$N$15:$W$15,A15,'[2]複合仕訳'!$N$4:$W$4)</f>
        <v>0</v>
      </c>
      <c r="M15" s="58">
        <f>SUMIF('[2]費用支出'!$X$10:$X$4011,'仕入修正'!A15,'[2]費用支出'!$AI$10:$AI$4011)+SUMIF('[2]複合仕訳'!$N$15:$W$15,A15,'[2]複合仕訳'!$N$7:$W$7)</f>
        <v>0</v>
      </c>
      <c r="N15" s="264">
        <f t="shared" si="0"/>
        <v>0</v>
      </c>
      <c r="O15" s="376">
        <f>SUMIF('[2]費用支出'!$AM$10:$AM$4011,'仕入修正'!G15,'[2]費用支出'!$O$10:$O$4011)+SUMIF('[2]複合仕訳'!$AO$15:$AX$15,G15,'[2]複合仕訳'!$AO$17:$AX$17)</f>
        <v>0</v>
      </c>
      <c r="P15" s="377">
        <f>SUMIF('[2]費用支出'!$AM$10:$AM$4011,'仕入修正'!H15,'[2]費用支出'!$O$10:$O$4011)+SUMIF('[2]複合仕訳'!$AO$16:$AX$16,H15,'[2]複合仕訳'!$AO$18:$AX$18)</f>
        <v>0</v>
      </c>
      <c r="R15" s="526"/>
      <c r="S15" s="529"/>
      <c r="T15" s="548" t="s">
        <v>105</v>
      </c>
      <c r="U15" s="550" t="str">
        <f>IF(V15=0,"***","期首材料価額")</f>
        <v>***</v>
      </c>
      <c r="V15" s="557">
        <f>'[2]在庫'!E15</f>
        <v>0</v>
      </c>
      <c r="W15" s="129"/>
    </row>
    <row r="16" spans="1:23" ht="15.75" thickBot="1">
      <c r="A16" s="36">
        <v>15</v>
      </c>
      <c r="B16" s="37"/>
      <c r="C16" s="37"/>
      <c r="D16" s="37"/>
      <c r="E16" s="37">
        <v>1</v>
      </c>
      <c r="F16" s="37">
        <v>2</v>
      </c>
      <c r="G16" s="380">
        <f t="shared" si="1"/>
        <v>151</v>
      </c>
      <c r="H16" s="380">
        <f t="shared" si="2"/>
        <v>152</v>
      </c>
      <c r="I16" s="36"/>
      <c r="J16" s="578"/>
      <c r="K16" s="124" t="str">
        <f>IF(L16=0,"***",+'[2]ﾒﾆｭｰ'!H18)</f>
        <v>***</v>
      </c>
      <c r="L16" s="125">
        <f>SUMIF('[2]費用支出'!$X$10:$X$4011,'仕入修正'!A16,'[2]費用支出'!$O$10:$O$4011)+SUMIF('[2]複合仕訳'!$N$15:$W$15,A16,'[2]複合仕訳'!$N$4:$W$4)</f>
        <v>0</v>
      </c>
      <c r="M16" s="58">
        <f>SUMIF('[2]費用支出'!$X$10:$X$4011,'仕入修正'!A16,'[2]費用支出'!$AI$10:$AI$4011)+SUMIF('[2]複合仕訳'!$N$15:$W$15,A16,'[2]複合仕訳'!$N$7:$W$7)</f>
        <v>0</v>
      </c>
      <c r="N16" s="264">
        <f t="shared" si="0"/>
        <v>0</v>
      </c>
      <c r="O16" s="376">
        <f>SUMIF('[2]費用支出'!$AM$10:$AM$4011,'仕入修正'!G16,'[2]費用支出'!$O$10:$O$4011)+SUMIF('[2]複合仕訳'!$AO$15:$AX$15,G16,'[2]複合仕訳'!$AO$17:$AX$17)</f>
        <v>0</v>
      </c>
      <c r="P16" s="377">
        <f>SUMIF('[2]費用支出'!$AM$10:$AM$4011,'仕入修正'!H16,'[2]費用支出'!$O$10:$O$4011)+SUMIF('[2]複合仕訳'!$AO$16:$AX$16,H16,'[2]複合仕訳'!$AO$18:$AX$18)</f>
        <v>0</v>
      </c>
      <c r="R16" s="526"/>
      <c r="S16" s="529"/>
      <c r="T16" s="549"/>
      <c r="U16" s="551"/>
      <c r="V16" s="558"/>
      <c r="W16" s="129"/>
    </row>
    <row r="17" spans="1:23" ht="15.75" thickBot="1">
      <c r="A17" s="36">
        <v>16</v>
      </c>
      <c r="B17" s="37"/>
      <c r="C17" s="37"/>
      <c r="D17" s="37"/>
      <c r="E17" s="37">
        <v>1</v>
      </c>
      <c r="F17" s="37">
        <v>2</v>
      </c>
      <c r="G17" s="380">
        <f t="shared" si="1"/>
        <v>161</v>
      </c>
      <c r="H17" s="380">
        <f t="shared" si="2"/>
        <v>162</v>
      </c>
      <c r="I17" s="36"/>
      <c r="J17" s="578"/>
      <c r="K17" s="124" t="str">
        <f>IF(L17=0,"***",+'[2]ﾒﾆｭｰ'!H19)</f>
        <v>***</v>
      </c>
      <c r="L17" s="125">
        <f>SUMIF('[2]費用支出'!$X$10:$X$4011,'仕入修正'!A17,'[2]費用支出'!$O$10:$O$4011)+SUMIF('[2]複合仕訳'!$N$15:$W$15,A17,'[2]複合仕訳'!$N$4:$W$4)</f>
        <v>0</v>
      </c>
      <c r="M17" s="58">
        <f>SUMIF('[2]費用支出'!$X$10:$X$4011,'仕入修正'!A17,'[2]費用支出'!$AI$10:$AI$4011)+SUMIF('[2]複合仕訳'!$N$15:$W$15,A17,'[2]複合仕訳'!$N$7:$W$7)</f>
        <v>0</v>
      </c>
      <c r="N17" s="264">
        <f t="shared" si="0"/>
        <v>0</v>
      </c>
      <c r="O17" s="376">
        <f>SUMIF('[2]費用支出'!$AM$10:$AM$4011,'仕入修正'!G17,'[2]費用支出'!$O$10:$O$4011)+SUMIF('[2]複合仕訳'!$AO$15:$AX$15,G17,'[2]複合仕訳'!$AO$17:$AX$17)</f>
        <v>0</v>
      </c>
      <c r="P17" s="377">
        <f>SUMIF('[2]費用支出'!$AM$10:$AM$4011,'仕入修正'!H17,'[2]費用支出'!$O$10:$O$4011)+SUMIF('[2]複合仕訳'!$AO$16:$AX$16,H17,'[2]複合仕訳'!$AO$18:$AX$18)</f>
        <v>0</v>
      </c>
      <c r="R17" s="527"/>
      <c r="S17" s="530"/>
      <c r="T17" s="130"/>
      <c r="U17" s="131" t="s">
        <v>106</v>
      </c>
      <c r="V17" s="74">
        <f>SUM(V11:V15)</f>
        <v>0</v>
      </c>
      <c r="W17" s="132">
        <f>IF('最初'!C8=2,INT(V17*4/105),0)</f>
        <v>0</v>
      </c>
    </row>
    <row r="18" spans="1:23" ht="15">
      <c r="A18" s="36">
        <v>17</v>
      </c>
      <c r="B18" s="37"/>
      <c r="C18" s="37"/>
      <c r="D18" s="37"/>
      <c r="E18" s="37">
        <v>1</v>
      </c>
      <c r="F18" s="37">
        <v>2</v>
      </c>
      <c r="G18" s="380">
        <f t="shared" si="1"/>
        <v>171</v>
      </c>
      <c r="H18" s="380">
        <f t="shared" si="2"/>
        <v>172</v>
      </c>
      <c r="I18" s="36"/>
      <c r="J18" s="578"/>
      <c r="K18" s="124" t="str">
        <f>IF(L18=0,"***",+'[2]ﾒﾆｭｰ'!H20)</f>
        <v>***</v>
      </c>
      <c r="L18" s="125">
        <f>SUMIF('[2]費用支出'!$X$10:$X$4011,'仕入修正'!A18,'[2]費用支出'!$O$10:$O$4011)+SUMIF('[2]複合仕訳'!$N$15:$W$15,A18,'[2]複合仕訳'!$N$4:$W$4)</f>
        <v>0</v>
      </c>
      <c r="M18" s="58">
        <f>SUMIF('[2]費用支出'!$X$10:$X$4011,'仕入修正'!A18,'[2]費用支出'!$AI$10:$AI$4011)+SUMIF('[2]複合仕訳'!$N$15:$W$15,A18,'[2]複合仕訳'!$N$7:$W$7)</f>
        <v>0</v>
      </c>
      <c r="N18" s="264">
        <f t="shared" si="0"/>
        <v>0</v>
      </c>
      <c r="O18" s="376">
        <f>SUMIF('[2]費用支出'!$AM$10:$AM$4011,'仕入修正'!G18,'[2]費用支出'!$O$10:$O$4011)+SUMIF('[2]複合仕訳'!$AO$15:$AX$15,G18,'[2]複合仕訳'!$AO$17:$AX$17)</f>
        <v>0</v>
      </c>
      <c r="P18" s="377">
        <f>SUMIF('[2]費用支出'!$AM$10:$AM$4011,'仕入修正'!H18,'[2]費用支出'!$O$10:$O$4011)+SUMIF('[2]複合仕訳'!$AO$16:$AX$16,H18,'[2]複合仕訳'!$AO$18:$AX$18)</f>
        <v>0</v>
      </c>
      <c r="R18" s="525" t="s">
        <v>70</v>
      </c>
      <c r="S18" s="528" t="s">
        <v>107</v>
      </c>
      <c r="T18" s="531" t="s">
        <v>108</v>
      </c>
      <c r="U18" s="124" t="str">
        <f>IF(+'[2]在庫'!F26=0,"***","期末生産物価額")</f>
        <v>***</v>
      </c>
      <c r="V18" s="127">
        <f>'[2]在庫'!F26</f>
        <v>0</v>
      </c>
      <c r="W18" s="129"/>
    </row>
    <row r="19" spans="1:23" ht="15">
      <c r="A19" s="36">
        <v>18</v>
      </c>
      <c r="B19" s="37"/>
      <c r="C19" s="37"/>
      <c r="D19" s="37"/>
      <c r="E19" s="37">
        <v>1</v>
      </c>
      <c r="F19" s="37">
        <v>2</v>
      </c>
      <c r="G19" s="380">
        <f t="shared" si="1"/>
        <v>181</v>
      </c>
      <c r="H19" s="380">
        <f t="shared" si="2"/>
        <v>182</v>
      </c>
      <c r="I19" s="36"/>
      <c r="J19" s="578"/>
      <c r="K19" s="124" t="str">
        <f>IF(L19=0,"***",+'[2]ﾒﾆｭｰ'!H21)</f>
        <v>***</v>
      </c>
      <c r="L19" s="125">
        <f>SUMIF('[2]費用支出'!$X$10:$X$4011,'仕入修正'!A19,'[2]費用支出'!$O$10:$O$4011)+SUMIF('[2]複合仕訳'!$N$15:$W$15,A19,'[2]複合仕訳'!$N$4:$W$4)</f>
        <v>0</v>
      </c>
      <c r="M19" s="58">
        <f>SUMIF('[2]費用支出'!$X$10:$X$4011,'仕入修正'!A19,'[2]費用支出'!$AI$10:$AI$4011)+SUMIF('[2]複合仕訳'!$N$15:$W$15,A19,'[2]複合仕訳'!$N$7:$W$7)</f>
        <v>0</v>
      </c>
      <c r="N19" s="264">
        <f t="shared" si="0"/>
        <v>0</v>
      </c>
      <c r="O19" s="376">
        <f>SUMIF('[2]費用支出'!$AM$10:$AM$4011,'仕入修正'!G19,'[2]費用支出'!$O$10:$O$4011)+SUMIF('[2]複合仕訳'!$AO$15:$AX$15,G19,'[2]複合仕訳'!$AO$17:$AX$17)</f>
        <v>0</v>
      </c>
      <c r="P19" s="377">
        <f>SUMIF('[2]費用支出'!$AM$10:$AM$4011,'仕入修正'!H19,'[2]費用支出'!$O$10:$O$4011)+SUMIF('[2]複合仕訳'!$AO$16:$AX$16,H19,'[2]複合仕訳'!$AO$18:$AX$18)</f>
        <v>0</v>
      </c>
      <c r="R19" s="526"/>
      <c r="S19" s="529"/>
      <c r="T19" s="532"/>
      <c r="U19" s="124" t="str">
        <f>IF(V19=0,"***","期末仕掛品")</f>
        <v>***</v>
      </c>
      <c r="V19" s="127">
        <f>'[2]在庫'!F37</f>
        <v>0</v>
      </c>
      <c r="W19" s="129"/>
    </row>
    <row r="20" spans="1:23" ht="15">
      <c r="A20" s="36">
        <v>19</v>
      </c>
      <c r="B20" s="37"/>
      <c r="C20" s="37"/>
      <c r="D20" s="37"/>
      <c r="E20" s="37">
        <v>1</v>
      </c>
      <c r="F20" s="37">
        <v>2</v>
      </c>
      <c r="G20" s="380">
        <f t="shared" si="1"/>
        <v>191</v>
      </c>
      <c r="H20" s="380">
        <f t="shared" si="2"/>
        <v>192</v>
      </c>
      <c r="I20" s="36"/>
      <c r="J20" s="578"/>
      <c r="K20" s="124" t="str">
        <f>IF(L20=0,"***",+'[2]ﾒﾆｭｰ'!H22)</f>
        <v>***</v>
      </c>
      <c r="L20" s="125">
        <f>SUMIF('[2]費用支出'!$X$10:$X$4011,'仕入修正'!A20,'[2]費用支出'!$O$10:$O$4011)+SUMIF('[2]複合仕訳'!$N$15:$W$15,A20,'[2]複合仕訳'!$N$4:$W$4)</f>
        <v>0</v>
      </c>
      <c r="M20" s="58">
        <f>SUMIF('[2]費用支出'!$X$10:$X$4011,'仕入修正'!A20,'[2]費用支出'!$AI$10:$AI$4011)+SUMIF('[2]複合仕訳'!$N$15:$W$15,A20,'[2]複合仕訳'!$N$7:$W$7)</f>
        <v>0</v>
      </c>
      <c r="N20" s="264">
        <f t="shared" si="0"/>
        <v>0</v>
      </c>
      <c r="O20" s="376">
        <f>SUMIF('[2]費用支出'!$AM$10:$AM$4011,'仕入修正'!G20,'[2]費用支出'!$O$10:$O$4011)+SUMIF('[2]複合仕訳'!$AO$15:$AX$15,G20,'[2]複合仕訳'!$AO$17:$AX$17)</f>
        <v>0</v>
      </c>
      <c r="P20" s="377">
        <f>SUMIF('[2]費用支出'!$AM$10:$AM$4011,'仕入修正'!H20,'[2]費用支出'!$O$10:$O$4011)+SUMIF('[2]複合仕訳'!$AO$16:$AX$16,H20,'[2]複合仕訳'!$AO$18:$AX$18)</f>
        <v>0</v>
      </c>
      <c r="R20" s="526"/>
      <c r="S20" s="529"/>
      <c r="T20" s="532"/>
      <c r="U20" s="522" t="str">
        <f>IF(V20=0,"***","期末肥育牛棚卸高")</f>
        <v>***</v>
      </c>
      <c r="V20" s="518">
        <f>'[2]損益計算書'!$H$43</f>
        <v>0</v>
      </c>
      <c r="W20" s="129"/>
    </row>
    <row r="21" spans="1:23" ht="15">
      <c r="A21" s="36">
        <v>20</v>
      </c>
      <c r="B21" s="37"/>
      <c r="C21" s="37"/>
      <c r="D21" s="37"/>
      <c r="E21" s="37">
        <v>1</v>
      </c>
      <c r="F21" s="37">
        <v>2</v>
      </c>
      <c r="G21" s="380">
        <f t="shared" si="1"/>
        <v>201</v>
      </c>
      <c r="H21" s="380">
        <f t="shared" si="2"/>
        <v>202</v>
      </c>
      <c r="I21" s="36"/>
      <c r="J21" s="578"/>
      <c r="K21" s="124" t="str">
        <f>IF(L21=0,"***",+'[2]ﾒﾆｭｰ'!H23)</f>
        <v>***</v>
      </c>
      <c r="L21" s="125">
        <f>SUMIF('[2]費用支出'!$X$10:$X$4011,'仕入修正'!A21,'[2]費用支出'!$O$10:$O$4011)+SUMIF('[2]複合仕訳'!$N$15:$W$15,A21,'[2]複合仕訳'!$N$4:$W$4)</f>
        <v>0</v>
      </c>
      <c r="M21" s="58">
        <f>SUMIF('[2]費用支出'!$X$10:$X$4011,'仕入修正'!A21,'[2]費用支出'!$AI$10:$AI$4011)+SUMIF('[2]複合仕訳'!$N$15:$W$15,A21,'[2]複合仕訳'!$N$7:$W$7)</f>
        <v>0</v>
      </c>
      <c r="N21" s="264">
        <f t="shared" si="0"/>
        <v>0</v>
      </c>
      <c r="O21" s="376">
        <f>SUMIF('[2]費用支出'!$AM$10:$AM$4011,'仕入修正'!G21,'[2]費用支出'!$O$10:$O$4011)+SUMIF('[2]複合仕訳'!$AO$15:$AX$15,G21,'[2]複合仕訳'!$AO$17:$AX$17)</f>
        <v>0</v>
      </c>
      <c r="P21" s="377">
        <f>SUMIF('[2]費用支出'!$AM$10:$AM$4011,'仕入修正'!H21,'[2]費用支出'!$O$10:$O$4011)+SUMIF('[2]複合仕訳'!$AO$16:$AX$16,H21,'[2]複合仕訳'!$AO$18:$AX$18)</f>
        <v>0</v>
      </c>
      <c r="R21" s="526"/>
      <c r="S21" s="529"/>
      <c r="T21" s="533"/>
      <c r="U21" s="524"/>
      <c r="V21" s="519"/>
      <c r="W21" s="129"/>
    </row>
    <row r="22" spans="1:23" ht="15">
      <c r="A22" s="36">
        <v>21</v>
      </c>
      <c r="B22" s="37"/>
      <c r="C22" s="37"/>
      <c r="D22" s="37"/>
      <c r="E22" s="37">
        <v>1</v>
      </c>
      <c r="F22" s="37">
        <v>2</v>
      </c>
      <c r="G22" s="380">
        <f t="shared" si="1"/>
        <v>211</v>
      </c>
      <c r="H22" s="380">
        <f t="shared" si="2"/>
        <v>212</v>
      </c>
      <c r="I22" s="36"/>
      <c r="J22" s="578"/>
      <c r="K22" s="124" t="str">
        <f>IF(L22=0,"***",+'[2]ﾒﾆｭｰ'!H24)</f>
        <v>***</v>
      </c>
      <c r="L22" s="125">
        <f>SUMIF('[2]費用支出'!$X$10:$X$4011,'仕入修正'!A22,'[2]費用支出'!$O$10:$O$4011)+SUMIF('[2]複合仕訳'!$N$15:$W$15,A22,'[2]複合仕訳'!$N$4:$W$4)</f>
        <v>0</v>
      </c>
      <c r="M22" s="58">
        <f>SUMIF('[2]費用支出'!$X$10:$X$4011,'仕入修正'!A22,'[2]費用支出'!$AI$10:$AI$4011)+SUMIF('[2]複合仕訳'!$N$15:$W$15,A22,'[2]複合仕訳'!$N$7:$W$7)</f>
        <v>0</v>
      </c>
      <c r="N22" s="264">
        <f t="shared" si="0"/>
        <v>0</v>
      </c>
      <c r="O22" s="376">
        <f>SUMIF('[2]費用支出'!$AM$10:$AM$4011,'仕入修正'!G22,'[2]費用支出'!$O$10:$O$4011)+SUMIF('[2]複合仕訳'!$AO$15:$AX$15,G22,'[2]複合仕訳'!$AO$17:$AX$17)</f>
        <v>0</v>
      </c>
      <c r="P22" s="377">
        <f>SUMIF('[2]費用支出'!$AM$10:$AM$4011,'仕入修正'!H22,'[2]費用支出'!$O$10:$O$4011)+SUMIF('[2]複合仕訳'!$AO$16:$AX$16,H22,'[2]複合仕訳'!$AO$18:$AX$18)</f>
        <v>0</v>
      </c>
      <c r="R22" s="526"/>
      <c r="S22" s="529"/>
      <c r="T22" s="534" t="s">
        <v>109</v>
      </c>
      <c r="U22" s="522" t="str">
        <f>IF(V22=0,"***","期末材料価額")</f>
        <v>***</v>
      </c>
      <c r="V22" s="520">
        <f>'[2]在庫'!F15</f>
        <v>0</v>
      </c>
      <c r="W22" s="129"/>
    </row>
    <row r="23" spans="1:23" ht="15.75" thickBot="1">
      <c r="A23" s="36">
        <v>22</v>
      </c>
      <c r="B23" s="37"/>
      <c r="C23" s="37"/>
      <c r="D23" s="37"/>
      <c r="E23" s="37">
        <v>1</v>
      </c>
      <c r="F23" s="37">
        <v>2</v>
      </c>
      <c r="G23" s="380">
        <f t="shared" si="1"/>
        <v>221</v>
      </c>
      <c r="H23" s="380">
        <f t="shared" si="2"/>
        <v>222</v>
      </c>
      <c r="I23" s="36"/>
      <c r="J23" s="578"/>
      <c r="K23" s="124" t="str">
        <f>IF(L23=0,"***",+'[2]ﾒﾆｭｰ'!H25)</f>
        <v>***</v>
      </c>
      <c r="L23" s="125">
        <f>SUMIF('[2]費用支出'!$X$10:$X$4011,'仕入修正'!A23,'[2]費用支出'!$O$10:$O$4011)+SUMIF('[2]複合仕訳'!$N$15:$W$15,A23,'[2]複合仕訳'!$N$4:$W$4)</f>
        <v>0</v>
      </c>
      <c r="M23" s="58">
        <f>SUMIF('[2]費用支出'!$X$10:$X$4011,'仕入修正'!A23,'[2]費用支出'!$AI$10:$AI$4011)+SUMIF('[2]複合仕訳'!$N$15:$W$15,A23,'[2]複合仕訳'!$N$7:$W$7)</f>
        <v>0</v>
      </c>
      <c r="N23" s="264">
        <f t="shared" si="0"/>
        <v>0</v>
      </c>
      <c r="O23" s="376">
        <f>SUMIF('[2]費用支出'!$AM$10:$AM$4011,'仕入修正'!G23,'[2]費用支出'!$O$10:$O$4011)+SUMIF('[2]複合仕訳'!$AO$15:$AX$15,G23,'[2]複合仕訳'!$AO$17:$AX$17)</f>
        <v>0</v>
      </c>
      <c r="P23" s="377">
        <f>SUMIF('[2]費用支出'!$AM$10:$AM$4011,'仕入修正'!H23,'[2]費用支出'!$O$10:$O$4011)+SUMIF('[2]複合仕訳'!$AO$16:$AX$16,H23,'[2]複合仕訳'!$AO$18:$AX$18)</f>
        <v>0</v>
      </c>
      <c r="R23" s="526"/>
      <c r="S23" s="529"/>
      <c r="T23" s="535"/>
      <c r="U23" s="523"/>
      <c r="V23" s="521"/>
      <c r="W23" s="129"/>
    </row>
    <row r="24" spans="1:23" ht="15.75" thickBot="1">
      <c r="A24" s="36">
        <v>23</v>
      </c>
      <c r="B24" s="37"/>
      <c r="C24" s="37"/>
      <c r="D24" s="37"/>
      <c r="E24" s="37">
        <v>1</v>
      </c>
      <c r="F24" s="37">
        <v>2</v>
      </c>
      <c r="G24" s="380">
        <f t="shared" si="1"/>
        <v>231</v>
      </c>
      <c r="H24" s="380">
        <f t="shared" si="2"/>
        <v>232</v>
      </c>
      <c r="I24" s="36"/>
      <c r="J24" s="578"/>
      <c r="K24" s="124" t="str">
        <f>IF(L24=0,"***",+'[2]ﾒﾆｭｰ'!H26)</f>
        <v>***</v>
      </c>
      <c r="L24" s="125">
        <f>SUMIF('[2]費用支出'!$X$10:$X$4011,'仕入修正'!A24,'[2]費用支出'!$O$10:$O$4011)+SUMIF('[2]複合仕訳'!$N$15:$W$15,A24,'[2]複合仕訳'!$N$4:$W$4)</f>
        <v>0</v>
      </c>
      <c r="M24" s="58">
        <f>SUMIF('[2]費用支出'!$X$10:$X$4011,'仕入修正'!A24,'[2]費用支出'!$AI$10:$AI$4011)+SUMIF('[2]複合仕訳'!$N$15:$W$15,A24,'[2]複合仕訳'!$N$7:$W$7)</f>
        <v>0</v>
      </c>
      <c r="N24" s="264">
        <f t="shared" si="0"/>
        <v>0</v>
      </c>
      <c r="O24" s="376">
        <f>SUMIF('[2]費用支出'!$AM$10:$AM$4011,'仕入修正'!G24,'[2]費用支出'!$O$10:$O$4011)+SUMIF('[2]複合仕訳'!$AO$15:$AX$15,G24,'[2]複合仕訳'!$AO$17:$AX$17)</f>
        <v>0</v>
      </c>
      <c r="P24" s="377">
        <f>SUMIF('[2]費用支出'!$AM$10:$AM$4011,'仕入修正'!H24,'[2]費用支出'!$O$10:$O$4011)+SUMIF('[2]複合仕訳'!$AO$16:$AX$16,H24,'[2]複合仕訳'!$AO$18:$AX$18)</f>
        <v>0</v>
      </c>
      <c r="R24" s="527"/>
      <c r="S24" s="530"/>
      <c r="T24" s="133"/>
      <c r="U24" s="131" t="s">
        <v>106</v>
      </c>
      <c r="V24" s="74">
        <f>SUM(V18:V22)</f>
        <v>0</v>
      </c>
      <c r="W24" s="134">
        <f>IF('最初'!C8=3,-INT(V24*4/105),0)</f>
        <v>0</v>
      </c>
    </row>
    <row r="25" spans="1:17" ht="15">
      <c r="A25" s="36">
        <v>24</v>
      </c>
      <c r="B25" s="37"/>
      <c r="C25" s="37"/>
      <c r="D25" s="37"/>
      <c r="E25" s="37">
        <v>1</v>
      </c>
      <c r="F25" s="37">
        <v>2</v>
      </c>
      <c r="G25" s="380">
        <f t="shared" si="1"/>
        <v>241</v>
      </c>
      <c r="H25" s="380">
        <f t="shared" si="2"/>
        <v>242</v>
      </c>
      <c r="I25" s="36"/>
      <c r="J25" s="578"/>
      <c r="K25" s="124" t="str">
        <f>IF(L25=0,"***",+'[2]ﾒﾆｭｰ'!H27)</f>
        <v>***</v>
      </c>
      <c r="L25" s="125">
        <f>SUMIF('[2]費用支出'!$X$10:$X$4011,'仕入修正'!A25,'[2]費用支出'!$O$10:$O$4011)+SUMIF('[2]複合仕訳'!$N$15:$W$15,A25,'[2]複合仕訳'!$N$4:$W$4)</f>
        <v>0</v>
      </c>
      <c r="M25" s="58">
        <f>SUMIF('[2]費用支出'!$X$10:$X$4011,'仕入修正'!A25,'[2]費用支出'!$AI$10:$AI$4011)+SUMIF('[2]複合仕訳'!$N$15:$W$15,A25,'[2]複合仕訳'!$N$7:$W$7)</f>
        <v>0</v>
      </c>
      <c r="N25" s="264">
        <f t="shared" si="0"/>
        <v>0</v>
      </c>
      <c r="O25" s="376">
        <f>SUMIF('[2]費用支出'!$AM$10:$AM$4011,'仕入修正'!G25,'[2]費用支出'!$O$10:$O$4011)+SUMIF('[2]複合仕訳'!$AO$15:$AX$15,G25,'[2]複合仕訳'!$AO$17:$AX$17)</f>
        <v>0</v>
      </c>
      <c r="P25" s="377">
        <f>SUMIF('[2]費用支出'!$AM$10:$AM$4011,'仕入修正'!H25,'[2]費用支出'!$O$10:$O$4011)+SUMIF('[2]複合仕訳'!$AO$16:$AX$16,H25,'[2]複合仕訳'!$AO$18:$AX$18)</f>
        <v>0</v>
      </c>
      <c r="Q25" s="98"/>
    </row>
    <row r="26" spans="1:17" ht="15">
      <c r="A26" s="36">
        <v>25</v>
      </c>
      <c r="B26" s="37"/>
      <c r="C26" s="37"/>
      <c r="D26" s="37"/>
      <c r="E26" s="37">
        <v>1</v>
      </c>
      <c r="F26" s="37">
        <v>2</v>
      </c>
      <c r="G26" s="380">
        <f t="shared" si="1"/>
        <v>251</v>
      </c>
      <c r="H26" s="380">
        <f t="shared" si="2"/>
        <v>252</v>
      </c>
      <c r="I26" s="36"/>
      <c r="J26" s="578"/>
      <c r="K26" s="124" t="str">
        <f>IF(L26=0,"***",+'[2]ﾒﾆｭｰ'!H28)</f>
        <v>***</v>
      </c>
      <c r="L26" s="125">
        <f>SUMIF('[2]費用支出'!$X$10:$X$4011,'仕入修正'!A26,'[2]費用支出'!$O$10:$O$4011)+SUMIF('[2]複合仕訳'!$N$15:$W$15,A26,'[2]複合仕訳'!$N$4:$W$4)</f>
        <v>0</v>
      </c>
      <c r="M26" s="58">
        <f>SUMIF('[2]費用支出'!$X$10:$X$4011,'仕入修正'!A26,'[2]費用支出'!$AI$10:$AI$4011)+SUMIF('[2]複合仕訳'!$N$15:$W$15,A26,'[2]複合仕訳'!$N$7:$W$7)</f>
        <v>0</v>
      </c>
      <c r="N26" s="264">
        <f t="shared" si="0"/>
        <v>0</v>
      </c>
      <c r="O26" s="376">
        <f>SUMIF('[2]費用支出'!$AM$10:$AM$4011,'仕入修正'!G26,'[2]費用支出'!$O$10:$O$4011)+SUMIF('[2]複合仕訳'!$AO$15:$AX$15,G26,'[2]複合仕訳'!$AO$17:$AX$17)</f>
        <v>0</v>
      </c>
      <c r="P26" s="377">
        <f>SUMIF('[2]費用支出'!$AM$10:$AM$4011,'仕入修正'!H26,'[2]費用支出'!$O$10:$O$4011)+SUMIF('[2]複合仕訳'!$AO$16:$AX$16,H26,'[2]複合仕訳'!$AO$18:$AX$18)</f>
        <v>0</v>
      </c>
      <c r="Q26" s="98"/>
    </row>
    <row r="27" spans="1:17" ht="15">
      <c r="A27" s="36">
        <v>39</v>
      </c>
      <c r="B27" s="37"/>
      <c r="C27" s="37"/>
      <c r="D27" s="37"/>
      <c r="E27" s="37">
        <v>1</v>
      </c>
      <c r="F27" s="37">
        <v>2</v>
      </c>
      <c r="G27" s="380">
        <f t="shared" si="1"/>
        <v>391</v>
      </c>
      <c r="H27" s="380">
        <f t="shared" si="2"/>
        <v>392</v>
      </c>
      <c r="I27" s="36"/>
      <c r="J27" s="578"/>
      <c r="K27" s="124" t="str">
        <f>IF(L27=0,"***",+'[2]ﾒﾆｭｰ'!H29)</f>
        <v>***</v>
      </c>
      <c r="L27" s="125">
        <f>SUMIF('[2]費用支出'!$X$10:$X$4011,'仕入修正'!A27,'[2]費用支出'!$O$10:$O$4011)+SUMIF('[2]複合仕訳'!$N$15:$W$15,A27,'[2]複合仕訳'!$N$4:$W$4)</f>
        <v>0</v>
      </c>
      <c r="M27" s="58">
        <f>'仕入修正'!L27</f>
        <v>0</v>
      </c>
      <c r="N27" s="264">
        <f t="shared" si="0"/>
        <v>0</v>
      </c>
      <c r="O27" s="386"/>
      <c r="P27" s="387"/>
      <c r="Q27" s="98"/>
    </row>
    <row r="28" spans="1:17" ht="15">
      <c r="A28" s="36">
        <v>40</v>
      </c>
      <c r="B28" s="37"/>
      <c r="C28" s="37"/>
      <c r="D28" s="37"/>
      <c r="E28" s="37">
        <v>1</v>
      </c>
      <c r="F28" s="37">
        <v>2</v>
      </c>
      <c r="G28" s="380">
        <f t="shared" si="1"/>
        <v>401</v>
      </c>
      <c r="H28" s="380">
        <f t="shared" si="2"/>
        <v>402</v>
      </c>
      <c r="I28" s="36"/>
      <c r="J28" s="578"/>
      <c r="K28" s="124" t="str">
        <f>IF(L28=0,"***",+'[2]ﾒﾆｭｰ'!H30)</f>
        <v>***</v>
      </c>
      <c r="L28" s="125">
        <f>SUMIF('[2]費用支出'!$X$10:$X$4011,'仕入修正'!A28,'[2]費用支出'!$O$10:$O$4011)+SUMIF('[2]複合仕訳'!$N$15:$W$15,A28,'[2]複合仕訳'!$N$4:$W$4)</f>
        <v>0</v>
      </c>
      <c r="M28" s="58">
        <f>'仕入修正'!L28</f>
        <v>0</v>
      </c>
      <c r="N28" s="264">
        <f t="shared" si="0"/>
        <v>0</v>
      </c>
      <c r="O28" s="388"/>
      <c r="P28" s="389"/>
      <c r="Q28" s="119"/>
    </row>
    <row r="29" spans="1:17" ht="15">
      <c r="A29" s="36">
        <v>41</v>
      </c>
      <c r="B29" s="37"/>
      <c r="C29" s="37"/>
      <c r="D29" s="37"/>
      <c r="E29" s="37">
        <v>1</v>
      </c>
      <c r="F29" s="37">
        <v>2</v>
      </c>
      <c r="G29" s="380">
        <f t="shared" si="1"/>
        <v>411</v>
      </c>
      <c r="H29" s="380">
        <f t="shared" si="2"/>
        <v>412</v>
      </c>
      <c r="I29" s="36"/>
      <c r="J29" s="578"/>
      <c r="K29" s="124" t="str">
        <f>IF(L29=0,"***",+'[2]ﾒﾆｭｰ'!H31)</f>
        <v>***</v>
      </c>
      <c r="L29" s="125">
        <f>SUMIF('[2]費用支出'!$X$10:$X$4011,'仕入修正'!A29,'[2]費用支出'!$O$10:$O$4011)+SUMIF('[2]複合仕訳'!$N$15:$W$15,A29,'[2]複合仕訳'!$N$4:$W$4)</f>
        <v>0</v>
      </c>
      <c r="M29" s="58">
        <f>'仕入修正'!L29</f>
        <v>0</v>
      </c>
      <c r="N29" s="264">
        <f t="shared" si="0"/>
        <v>0</v>
      </c>
      <c r="O29" s="388"/>
      <c r="P29" s="389"/>
      <c r="Q29" s="119"/>
    </row>
    <row r="30" spans="1:17" ht="15.75" thickBot="1">
      <c r="A30" s="36"/>
      <c r="B30" s="36"/>
      <c r="C30" s="36"/>
      <c r="D30" s="36"/>
      <c r="E30" s="36"/>
      <c r="F30" s="36"/>
      <c r="G30" s="380"/>
      <c r="H30" s="380"/>
      <c r="I30" s="36"/>
      <c r="J30" s="578"/>
      <c r="K30" s="135" t="str">
        <f>IF(L30=0,"***","減価償却費")</f>
        <v>***</v>
      </c>
      <c r="L30" s="125">
        <f>'[2]損益計算書'!$D$35+'[2]損益計算書'!$D$36</f>
        <v>0</v>
      </c>
      <c r="M30" s="58">
        <f>'仕入修正'!L30</f>
        <v>0</v>
      </c>
      <c r="N30" s="293">
        <f t="shared" si="0"/>
        <v>0</v>
      </c>
      <c r="O30" s="384"/>
      <c r="P30" s="385"/>
      <c r="Q30" s="36"/>
    </row>
    <row r="31" spans="1:17" ht="16.5" customHeight="1" thickBot="1">
      <c r="A31" s="36"/>
      <c r="B31" s="36"/>
      <c r="C31" s="36"/>
      <c r="D31" s="36"/>
      <c r="E31" s="36"/>
      <c r="F31" s="36"/>
      <c r="G31" s="380"/>
      <c r="H31" s="380"/>
      <c r="I31" s="36"/>
      <c r="J31" s="578"/>
      <c r="K31" s="136" t="s">
        <v>110</v>
      </c>
      <c r="L31" s="137">
        <f>-'売上修正'!S6-'売上修正'!S8</f>
        <v>0</v>
      </c>
      <c r="M31" s="138"/>
      <c r="N31" s="301">
        <f t="shared" si="0"/>
        <v>0</v>
      </c>
      <c r="O31" s="374">
        <f>N31</f>
        <v>0</v>
      </c>
      <c r="P31" s="373"/>
      <c r="Q31" s="36"/>
    </row>
    <row r="32" spans="1:17" ht="15.75" thickBot="1">
      <c r="A32" s="36"/>
      <c r="B32" s="36"/>
      <c r="C32" s="36"/>
      <c r="D32" s="36"/>
      <c r="E32" s="36"/>
      <c r="F32" s="36"/>
      <c r="G32" s="380"/>
      <c r="H32" s="380"/>
      <c r="I32" s="36"/>
      <c r="J32" s="578"/>
      <c r="K32" s="136" t="s">
        <v>111</v>
      </c>
      <c r="L32" s="137">
        <f>-'売上修正'!T8</f>
        <v>0</v>
      </c>
      <c r="M32" s="138"/>
      <c r="N32" s="301">
        <f t="shared" si="0"/>
        <v>0</v>
      </c>
      <c r="O32" s="374">
        <f>N32</f>
        <v>0</v>
      </c>
      <c r="P32" s="373"/>
      <c r="Q32" s="36"/>
    </row>
    <row r="33" spans="1:17" ht="15.75" thickBot="1">
      <c r="A33" s="36"/>
      <c r="B33" s="36"/>
      <c r="C33" s="36"/>
      <c r="D33" s="36"/>
      <c r="E33" s="36"/>
      <c r="F33" s="36"/>
      <c r="G33" s="380"/>
      <c r="H33" s="380"/>
      <c r="I33" s="36"/>
      <c r="J33" s="579"/>
      <c r="K33" s="140" t="s">
        <v>106</v>
      </c>
      <c r="L33" s="141">
        <f>SUM(L5:L32)</f>
        <v>0</v>
      </c>
      <c r="M33" s="142">
        <f>SUM(M5:M32)</f>
        <v>0</v>
      </c>
      <c r="N33" s="301">
        <f t="shared" si="0"/>
        <v>0</v>
      </c>
      <c r="O33" s="142">
        <f>SUM(O5:O32)</f>
        <v>0</v>
      </c>
      <c r="P33" s="445">
        <f>SUM(P5:P32)</f>
        <v>0</v>
      </c>
      <c r="Q33" s="36"/>
    </row>
    <row r="34" spans="1:17" ht="15.75" thickBot="1">
      <c r="A34" s="36"/>
      <c r="B34" s="36"/>
      <c r="C34" s="36"/>
      <c r="D34" s="36"/>
      <c r="E34" s="36"/>
      <c r="F34" s="36"/>
      <c r="G34" s="380"/>
      <c r="H34" s="380"/>
      <c r="I34" s="36"/>
      <c r="J34" s="104"/>
      <c r="K34" s="143"/>
      <c r="L34" s="144"/>
      <c r="M34" s="144"/>
      <c r="N34" s="145"/>
      <c r="O34" s="171"/>
      <c r="Q34" s="119"/>
    </row>
    <row r="35" spans="1:17" ht="15" customHeight="1">
      <c r="A35" s="36"/>
      <c r="B35" s="36"/>
      <c r="C35" s="36"/>
      <c r="D35" s="36"/>
      <c r="E35" s="36"/>
      <c r="F35" s="36"/>
      <c r="G35" s="380"/>
      <c r="H35" s="380"/>
      <c r="I35" s="36"/>
      <c r="J35" s="572"/>
      <c r="K35" s="564" t="s">
        <v>76</v>
      </c>
      <c r="L35" s="566" t="s">
        <v>98</v>
      </c>
      <c r="M35" s="561" t="s">
        <v>99</v>
      </c>
      <c r="N35" s="559" t="s">
        <v>100</v>
      </c>
      <c r="O35" s="370"/>
      <c r="P35" s="371"/>
      <c r="Q35" s="119"/>
    </row>
    <row r="36" spans="1:17" ht="31.5" customHeight="1" thickBot="1">
      <c r="A36" s="121"/>
      <c r="B36" s="121"/>
      <c r="C36" s="121"/>
      <c r="D36" s="121"/>
      <c r="E36" s="121"/>
      <c r="F36" s="121"/>
      <c r="G36" s="380"/>
      <c r="H36" s="380"/>
      <c r="I36" s="121"/>
      <c r="J36" s="573"/>
      <c r="K36" s="575"/>
      <c r="L36" s="576"/>
      <c r="M36" s="562"/>
      <c r="N36" s="563"/>
      <c r="O36" s="184" t="s">
        <v>542</v>
      </c>
      <c r="P36" s="372" t="s">
        <v>543</v>
      </c>
      <c r="Q36" s="119"/>
    </row>
    <row r="37" spans="1:17" ht="15.75" thickBot="1">
      <c r="A37" s="36"/>
      <c r="B37" s="36"/>
      <c r="C37" s="36"/>
      <c r="D37" s="36"/>
      <c r="E37" s="36"/>
      <c r="F37" s="36"/>
      <c r="G37" s="380"/>
      <c r="H37" s="380"/>
      <c r="I37" s="36"/>
      <c r="J37" s="569" t="s">
        <v>89</v>
      </c>
      <c r="K37" s="146" t="s">
        <v>40</v>
      </c>
      <c r="L37" s="147">
        <f>L50+L51+L52</f>
        <v>0</v>
      </c>
      <c r="M37" s="147">
        <f>M50+M51+M52</f>
        <v>0</v>
      </c>
      <c r="N37" s="301">
        <f>L37-M37</f>
        <v>0</v>
      </c>
      <c r="O37" s="147">
        <f>O50+O51+O52</f>
        <v>0</v>
      </c>
      <c r="P37" s="442">
        <f>P50+P51+P52</f>
        <v>0</v>
      </c>
      <c r="Q37" s="119"/>
    </row>
    <row r="38" spans="1:17" ht="15.75" thickBot="1">
      <c r="A38" s="36">
        <v>48</v>
      </c>
      <c r="B38" s="36"/>
      <c r="C38" s="36"/>
      <c r="D38" s="36"/>
      <c r="E38" s="36">
        <v>1</v>
      </c>
      <c r="F38" s="36">
        <v>2</v>
      </c>
      <c r="G38" s="380">
        <f aca="true" t="shared" si="3" ref="G38:G48">$A38*10+E38</f>
        <v>481</v>
      </c>
      <c r="H38" s="380">
        <f aca="true" t="shared" si="4" ref="H38:H48">$A38*10+F38</f>
        <v>482</v>
      </c>
      <c r="I38" s="36"/>
      <c r="J38" s="570"/>
      <c r="K38" s="146" t="s">
        <v>41</v>
      </c>
      <c r="L38" s="147">
        <f>SUMIF('[2]費用支出'!$AB$10:$AB$4011,A38,'[2]費用支出'!$AL$10:$AL$4011)+SUMIF('[2]複合仕訳'!$N$15:$W$15,A38,'[2]複合仕訳'!$N$4:$W$4)</f>
        <v>0</v>
      </c>
      <c r="M38" s="70">
        <f>SUMIF('[2]費用支出'!$AB$10:$AB$4011,A38,'[2]費用支出'!$AI$10:$AI$4011)+SUMIF('[2]複合仕訳'!$N$15:$W$15,A38,'[2]複合仕訳'!$N$7:$W$7)</f>
        <v>0</v>
      </c>
      <c r="N38" s="301">
        <f>L38-M38</f>
        <v>0</v>
      </c>
      <c r="O38" s="73">
        <f>SUMIF('[2]費用支出'!$AM$10:$AM$4011,'仕入修正'!G38,'[2]費用支出'!$F$10:$F$4011)+SUMIF('[2]複合仕訳'!$AO$15:$AX$15,G38,'[2]複合仕訳'!$AO$17:$AX$17)</f>
        <v>0</v>
      </c>
      <c r="P38" s="139">
        <f>SUMIF('[2]費用支出'!$AM$10:$AM$4011,'仕入修正'!H38,'[2]費用支出'!$F$10:$F$4011)+SUMIF('[2]複合仕訳'!$AO$16:$AX$16,H38,'[2]複合仕訳'!$AO$18:$AX$18)</f>
        <v>0</v>
      </c>
      <c r="Q38" s="119"/>
    </row>
    <row r="39" spans="1:17" ht="15.75" thickBot="1">
      <c r="A39" s="36">
        <v>49</v>
      </c>
      <c r="B39" s="36"/>
      <c r="C39" s="36"/>
      <c r="D39" s="36"/>
      <c r="E39" s="36">
        <v>1</v>
      </c>
      <c r="F39" s="36">
        <v>2</v>
      </c>
      <c r="G39" s="380">
        <f t="shared" si="3"/>
        <v>491</v>
      </c>
      <c r="H39" s="380">
        <f t="shared" si="4"/>
        <v>492</v>
      </c>
      <c r="I39" s="36"/>
      <c r="J39" s="570"/>
      <c r="K39" s="149" t="s">
        <v>112</v>
      </c>
      <c r="L39" s="147">
        <f>SUMIF('[2]費用支出'!$AB$10:$AB$4011,A39,'[2]費用支出'!$F$10:$F$4011)+SUMIF('[2]複合仕訳'!$N$15:$W$15,A39,'[2]複合仕訳'!$N$4:$W$4)</f>
        <v>0</v>
      </c>
      <c r="M39" s="70">
        <f>SUMIF('[2]費用支出'!$AB$10:$AB$4011,A39,'[2]費用支出'!$AI$10:$AI$4011)+SUMIF('[2]複合仕訳'!$N$15:$W$15,A39,'[2]複合仕訳'!$N$7:$W$7)</f>
        <v>0</v>
      </c>
      <c r="N39" s="301">
        <f>L39-M39</f>
        <v>0</v>
      </c>
      <c r="O39" s="73">
        <f>SUMIF('[2]費用支出'!$AM$10:$AM$4011,'仕入修正'!G39,'[2]費用支出'!$F$10:$F$4011)+SUMIF('[2]複合仕訳'!$AO$15:$AX$15,G39,'[2]複合仕訳'!$AO$17:$AX$17)</f>
        <v>0</v>
      </c>
      <c r="P39" s="139">
        <f>SUMIF('[2]費用支出'!$AM$10:$AM$4011,'仕入修正'!H39,'[2]費用支出'!$F$10:$F$4011)+SUMIF('[2]複合仕訳'!$AO$16:$AX$16,H39,'[2]複合仕訳'!$AO$18:$AX$18)</f>
        <v>0</v>
      </c>
      <c r="Q39" s="119"/>
    </row>
    <row r="40" spans="1:17" ht="15.75" thickBot="1">
      <c r="A40" s="36">
        <v>50</v>
      </c>
      <c r="B40" s="36"/>
      <c r="C40" s="36"/>
      <c r="D40" s="36"/>
      <c r="E40" s="36">
        <v>1</v>
      </c>
      <c r="F40" s="36">
        <v>2</v>
      </c>
      <c r="G40" s="380">
        <f t="shared" si="3"/>
        <v>501</v>
      </c>
      <c r="H40" s="380">
        <f t="shared" si="4"/>
        <v>502</v>
      </c>
      <c r="I40" s="36"/>
      <c r="J40" s="570"/>
      <c r="K40" s="149" t="s">
        <v>112</v>
      </c>
      <c r="L40" s="147">
        <f>SUMIF('[2]費用支出'!$AB$10:$AB$4011,A40,'[2]費用支出'!$F$10:$F$4011)+SUMIF('[2]複合仕訳'!$N$15:$W$15,A40,'[2]複合仕訳'!$N$4:$W$4)</f>
        <v>0</v>
      </c>
      <c r="M40" s="70">
        <f>SUMIF('[2]費用支出'!$AB$10:$AB$4011,A40,'[2]費用支出'!$AI$10:$AI$4011)+SUMIF('[2]複合仕訳'!$N$15:$W$15,A40,'[2]複合仕訳'!$N$7:$W$7)</f>
        <v>0</v>
      </c>
      <c r="N40" s="301">
        <f>L40-M40</f>
        <v>0</v>
      </c>
      <c r="O40" s="73">
        <f>SUMIF('[2]費用支出'!$AM$10:$AM$4011,'仕入修正'!G40,'[2]費用支出'!$F$10:$F$4011)+SUMIF('[2]複合仕訳'!$AO$15:$AX$15,G40,'[2]複合仕訳'!$AO$17:$AX$17)</f>
        <v>0</v>
      </c>
      <c r="P40" s="139">
        <f>SUMIF('[2]費用支出'!$AM$10:$AM$4011,'仕入修正'!H40,'[2]費用支出'!$F$10:$F$4011)+SUMIF('[2]複合仕訳'!$AO$16:$AX$16,H40,'[2]複合仕訳'!$AO$18:$AX$18)</f>
        <v>0</v>
      </c>
      <c r="Q40" s="119"/>
    </row>
    <row r="41" spans="1:16" ht="15.75" thickBot="1">
      <c r="A41" s="36"/>
      <c r="B41" s="36"/>
      <c r="C41" s="36"/>
      <c r="D41" s="36"/>
      <c r="E41" s="36"/>
      <c r="F41" s="36"/>
      <c r="G41" s="380"/>
      <c r="H41" s="380"/>
      <c r="I41" s="36"/>
      <c r="J41" s="571"/>
      <c r="K41" s="150" t="s">
        <v>106</v>
      </c>
      <c r="L41" s="151">
        <f>SUM(L37:L40)</f>
        <v>0</v>
      </c>
      <c r="M41" s="151">
        <f>SUM(M37:M40)</f>
        <v>0</v>
      </c>
      <c r="N41" s="375">
        <f>SUM(N37:N40)</f>
        <v>0</v>
      </c>
      <c r="O41" s="375">
        <f>SUM(O37:O40)</f>
        <v>0</v>
      </c>
      <c r="P41" s="443">
        <f>SUM(P37:P40)</f>
        <v>0</v>
      </c>
    </row>
    <row r="42" spans="1:14" ht="15">
      <c r="A42" s="36"/>
      <c r="B42" s="36"/>
      <c r="C42" s="36"/>
      <c r="D42" s="36"/>
      <c r="E42" s="36"/>
      <c r="F42" s="36"/>
      <c r="G42" s="380"/>
      <c r="H42" s="380"/>
      <c r="I42" s="36"/>
      <c r="J42" s="104"/>
      <c r="K42" s="152"/>
      <c r="L42" s="153"/>
      <c r="M42" s="153"/>
      <c r="N42" s="40"/>
    </row>
    <row r="43" spans="1:14" ht="15" hidden="1">
      <c r="A43" s="36"/>
      <c r="B43" s="36"/>
      <c r="C43" s="36"/>
      <c r="D43" s="36"/>
      <c r="E43" s="36"/>
      <c r="F43" s="36"/>
      <c r="G43" s="380"/>
      <c r="H43" s="380"/>
      <c r="I43" s="36"/>
      <c r="J43" s="104"/>
      <c r="K43" s="36"/>
      <c r="L43" s="40"/>
      <c r="M43" s="40"/>
      <c r="N43" s="40"/>
    </row>
    <row r="44" spans="1:16" ht="15" hidden="1">
      <c r="A44" s="4">
        <v>2</v>
      </c>
      <c r="E44" s="4">
        <v>1</v>
      </c>
      <c r="F44" s="4">
        <v>2</v>
      </c>
      <c r="G44" s="380">
        <f t="shared" si="3"/>
        <v>21</v>
      </c>
      <c r="H44" s="380">
        <f t="shared" si="4"/>
        <v>22</v>
      </c>
      <c r="K44" s="124" t="str">
        <f>IF(L44=0,"***",+'[2]ﾒﾆｭｰ'!H5)</f>
        <v>***</v>
      </c>
      <c r="L44" s="125">
        <f>SUMIF('[2]費用支出'!$X$10:$X$4011,'仕入修正'!A44,'[2]費用支出'!$O$10:$O$4011)+SUMIF('[2]複合仕訳'!$N$15:$W$15,A44,'[2]複合仕訳'!$N$4:$W$4)</f>
        <v>0</v>
      </c>
      <c r="M44" s="58">
        <f>SUMIF('[2]費用支出'!$X$10:$X$4011,'仕入修正'!A44,'[2]費用支出'!$AI$10:$AI$4011)+SUMIF('[2]複合仕訳'!$N$15:$W$15,A44,'[2]複合仕訳'!$N$7:$W$7)</f>
        <v>0</v>
      </c>
      <c r="N44" s="263"/>
      <c r="O44" s="164">
        <f>SUMIF('[2]費用支出'!$AM$10:$AM$4011,'仕入修正'!G44,'[2]費用支出'!$O$10:$O$4011)+SUMIF('[2]複合仕訳'!$AO$15:$AX$15,G44,'[2]複合仕訳'!$AO$17:$AX$17)</f>
        <v>0</v>
      </c>
      <c r="P44" s="319">
        <f>SUMIF('[2]費用支出'!$AM$10:$AM$4011,'仕入修正'!H44,'[2]費用支出'!$O$10:$O$4011)+SUMIF('[2]複合仕訳'!$AO$16:$AX$16,H44,'[2]複合仕訳'!$AO$18:$AX$18)</f>
        <v>0</v>
      </c>
    </row>
    <row r="45" spans="1:16" ht="15" hidden="1">
      <c r="A45" s="4">
        <v>3</v>
      </c>
      <c r="E45" s="4">
        <v>1</v>
      </c>
      <c r="F45" s="4">
        <v>2</v>
      </c>
      <c r="G45" s="380">
        <f t="shared" si="3"/>
        <v>31</v>
      </c>
      <c r="H45" s="380">
        <f t="shared" si="4"/>
        <v>32</v>
      </c>
      <c r="K45" s="124" t="str">
        <f>IF(L45=0,"***",+'[2]ﾒﾆｭｰ'!H5)</f>
        <v>***</v>
      </c>
      <c r="L45" s="125">
        <f>SUMIF('[2]費用支出'!$X$10:$X$4011,'仕入修正'!A45,'[2]費用支出'!$O$10:$O$4011)+SUMIF('[2]複合仕訳'!$N$15:$W$15,A45,'[2]複合仕訳'!$N$4:$W$4)</f>
        <v>0</v>
      </c>
      <c r="M45" s="58">
        <f>SUMIF('[2]費用支出'!$X$10:$X$4011,'仕入修正'!A45,'[2]費用支出'!$AI$10:$AI$4011)+SUMIF('[2]複合仕訳'!$N$15:$W$15,A45,'[2]複合仕訳'!$N$7:$W$7)</f>
        <v>0</v>
      </c>
      <c r="N45" s="263"/>
      <c r="O45" s="164">
        <f>SUMIF('[2]費用支出'!$AM$10:$AM$4011,'仕入修正'!G45,'[2]費用支出'!$O$10:$O$4011)+SUMIF('[2]複合仕訳'!$AO$15:$AX$15,G45,'[2]複合仕訳'!$AO$17:$AX$17)</f>
        <v>0</v>
      </c>
      <c r="P45" s="319">
        <f>SUMIF('[2]費用支出'!$AM$10:$AM$4011,'仕入修正'!H45,'[2]費用支出'!$O$10:$O$4011)+SUMIF('[2]複合仕訳'!$AO$16:$AX$16,H45,'[2]複合仕訳'!$AO$18:$AX$18)</f>
        <v>0</v>
      </c>
    </row>
    <row r="46" spans="1:16" ht="15" hidden="1">
      <c r="A46" s="4">
        <v>4</v>
      </c>
      <c r="E46" s="4">
        <v>1</v>
      </c>
      <c r="F46" s="4">
        <v>2</v>
      </c>
      <c r="G46" s="380">
        <f t="shared" si="3"/>
        <v>41</v>
      </c>
      <c r="H46" s="380">
        <f t="shared" si="4"/>
        <v>42</v>
      </c>
      <c r="K46" s="124" t="str">
        <f>IF(L46=0,"***","素畜費")</f>
        <v>***</v>
      </c>
      <c r="L46" s="125">
        <f>SUMIF('[2]費用支出'!$X$10:$X$4011,'仕入修正'!A46,'[2]費用支出'!$O$10:$O$4011)+SUMIF('[2]複合仕訳'!$N$15:$W$15,A46,'[2]複合仕訳'!$N$4:$W$4)</f>
        <v>0</v>
      </c>
      <c r="M46" s="58">
        <f>SUMIF('[2]費用支出'!$X$10:$X$4011,'仕入修正'!A46,'[2]費用支出'!$AI$10:$AI$4011)+SUMIF('[2]複合仕訳'!$N$15:$W$15,A46,'[2]複合仕訳'!$N$7:$W$7)</f>
        <v>0</v>
      </c>
      <c r="N46" s="263"/>
      <c r="O46" s="164">
        <f>SUMIF('[2]費用支出'!$AM$10:$AM$4011,'仕入修正'!G46,'[2]費用支出'!$O$10:$O$4011)+SUMIF('[2]複合仕訳'!$AO$15:$AX$15,G46,'[2]複合仕訳'!$AO$17:$AX$17)</f>
        <v>0</v>
      </c>
      <c r="P46" s="319">
        <f>SUMIF('[2]費用支出'!$AM$10:$AM$4011,'仕入修正'!H46,'[2]費用支出'!$O$10:$O$4011)+SUMIF('[2]複合仕訳'!$AO$16:$AX$16,H46,'[2]複合仕訳'!$AO$18:$AX$18)</f>
        <v>0</v>
      </c>
    </row>
    <row r="47" spans="1:16" ht="15" hidden="1">
      <c r="A47" s="4">
        <v>5</v>
      </c>
      <c r="E47" s="4">
        <v>1</v>
      </c>
      <c r="F47" s="4">
        <v>2</v>
      </c>
      <c r="G47" s="380">
        <f t="shared" si="3"/>
        <v>51</v>
      </c>
      <c r="H47" s="380">
        <f t="shared" si="4"/>
        <v>52</v>
      </c>
      <c r="K47" s="124" t="str">
        <f>IF(L47=0,"***","素畜費")</f>
        <v>***</v>
      </c>
      <c r="L47" s="125">
        <f>SUMIF('[2]費用支出'!$X$10:$X$4011,'仕入修正'!A47,'[2]費用支出'!$O$10:$O$4011)+SUMIF('[2]複合仕訳'!$N$15:$W$15,A47,'[2]複合仕訳'!$N$4:$W$4)</f>
        <v>0</v>
      </c>
      <c r="M47" s="58">
        <f>SUMIF('[2]費用支出'!$X$10:$X$4011,'仕入修正'!A47,'[2]費用支出'!$AI$10:$AI$4011)+SUMIF('[2]複合仕訳'!$N$15:$W$15,A47,'[2]複合仕訳'!$N$7:$W$7)</f>
        <v>0</v>
      </c>
      <c r="N47" s="263"/>
      <c r="O47" s="164">
        <f>SUMIF('[2]費用支出'!$AM$10:$AM$4011,'仕入修正'!G47,'[2]費用支出'!$O$10:$O$4011)+SUMIF('[2]複合仕訳'!$AO$15:$AX$15,G47,'[2]複合仕訳'!$AO$17:$AX$17)</f>
        <v>0</v>
      </c>
      <c r="P47" s="319">
        <f>SUMIF('[2]費用支出'!$AM$10:$AM$4011,'仕入修正'!H47,'[2]費用支出'!$O$10:$O$4011)+SUMIF('[2]複合仕訳'!$AO$16:$AX$16,H47,'[2]複合仕訳'!$AO$18:$AX$18)</f>
        <v>0</v>
      </c>
    </row>
    <row r="48" spans="1:16" ht="15" hidden="1">
      <c r="A48" s="4">
        <v>6</v>
      </c>
      <c r="E48" s="4">
        <v>1</v>
      </c>
      <c r="F48" s="4">
        <v>2</v>
      </c>
      <c r="G48" s="380">
        <f t="shared" si="3"/>
        <v>61</v>
      </c>
      <c r="H48" s="380">
        <f t="shared" si="4"/>
        <v>62</v>
      </c>
      <c r="K48" s="124" t="str">
        <f>IF(L48=0,"***","素畜費")</f>
        <v>***</v>
      </c>
      <c r="L48" s="125">
        <f>SUMIF('[2]費用支出'!$X$10:$X$4011,'仕入修正'!A48,'[2]費用支出'!$O$10:$O$4011)+SUMIF('[2]複合仕訳'!$N$15:$W$15,A48,'[2]複合仕訳'!$N$4:$W$4)</f>
        <v>0</v>
      </c>
      <c r="M48" s="58">
        <f>SUMIF('[2]費用支出'!$X$10:$X$4011,'仕入修正'!A48,'[2]費用支出'!$AI$10:$AI$4011)+SUMIF('[2]複合仕訳'!$N$15:$W$15,A48,'[2]複合仕訳'!$N$7:$W$7)</f>
        <v>0</v>
      </c>
      <c r="N48" s="263"/>
      <c r="O48" s="164">
        <f>SUMIF('[2]費用支出'!$AM$10:$AM$4011,'仕入修正'!G48,'[2]費用支出'!$O$10:$O$4011)+SUMIF('[2]複合仕訳'!$AO$15:$AX$15,G48,'[2]複合仕訳'!$AO$17:$AX$17)</f>
        <v>0</v>
      </c>
      <c r="P48" s="319">
        <f>SUMIF('[2]費用支出'!$AM$10:$AM$4011,'仕入修正'!H48,'[2]費用支出'!$O$10:$O$4011)+SUMIF('[2]複合仕訳'!$AO$16:$AX$16,H48,'[2]複合仕訳'!$AO$18:$AX$18)</f>
        <v>0</v>
      </c>
    </row>
    <row r="49" ht="15.75" hidden="1" thickBot="1"/>
    <row r="50" spans="1:16" ht="15.75" hidden="1" thickBot="1">
      <c r="A50" s="4">
        <v>53</v>
      </c>
      <c r="E50" s="4">
        <v>1</v>
      </c>
      <c r="F50" s="4">
        <v>2</v>
      </c>
      <c r="G50" s="380">
        <f aca="true" t="shared" si="5" ref="G50:H52">$A50*10+E50</f>
        <v>531</v>
      </c>
      <c r="H50" s="380">
        <f t="shared" si="5"/>
        <v>532</v>
      </c>
      <c r="K50" s="146" t="s">
        <v>40</v>
      </c>
      <c r="L50" s="147">
        <f>SUMIF('[2]費用支出'!$AB$10:$AB$4011,53,'[2]費用支出'!$F$10:$F$4011)+SUMIF('[2]複合仕訳'!$N$15:$W$15,53,'[2]複合仕訳'!$N$4:$W$4)</f>
        <v>0</v>
      </c>
      <c r="M50" s="148">
        <f>SUMIF('[2]費用支出'!$AB$10:$AB$4011,53,'[2]費用支出'!$AI$10:$AI$4011)+SUMIF('[2]複合仕訳'!$N$15:$W$15,53,'[2]複合仕訳'!$N$7:$W$7)</f>
        <v>0</v>
      </c>
      <c r="O50" s="164">
        <f>SUMIF('[2]費用支出'!$AM$10:$AM$4011,'仕入修正'!G50,'[2]費用支出'!$AL$10:$AL$4011)</f>
        <v>0</v>
      </c>
      <c r="P50" s="319">
        <f>SUMIF('[2]費用支出'!$AM$10:$AM$4011,'仕入修正'!H50,'[2]費用支出'!$AL$10:$AL$4011)</f>
        <v>0</v>
      </c>
    </row>
    <row r="51" spans="1:16" ht="15.75" hidden="1" thickBot="1">
      <c r="A51" s="4">
        <v>54</v>
      </c>
      <c r="E51" s="4">
        <v>1</v>
      </c>
      <c r="F51" s="4">
        <v>2</v>
      </c>
      <c r="G51" s="380">
        <f t="shared" si="5"/>
        <v>541</v>
      </c>
      <c r="H51" s="380">
        <f t="shared" si="5"/>
        <v>542</v>
      </c>
      <c r="K51" s="146" t="s">
        <v>40</v>
      </c>
      <c r="L51" s="147">
        <f>SUMIF('[2]費用支出'!$AB$10:$AB$4011,54,'[2]費用支出'!$F$10:$F$4011)+SUMIF('[2]複合仕訳'!$N$15:$W$15,54,'[2]複合仕訳'!$N$4:$W$4)</f>
        <v>0</v>
      </c>
      <c r="M51" s="148">
        <f>SUMIF('[2]費用支出'!$AB$10:$AB$4011,54,'[2]費用支出'!$AI$10:$AI$4011)+SUMIF('[2]複合仕訳'!$N$15:$W$15,54,'[2]複合仕訳'!$N$7:$W$7)</f>
        <v>0</v>
      </c>
      <c r="O51" s="164">
        <f>SUMIF('[2]費用支出'!$AM$10:$AM$4011,'仕入修正'!G51,'[2]費用支出'!$AL$10:$AL$4011)</f>
        <v>0</v>
      </c>
      <c r="P51" s="319">
        <f>SUMIF('[2]費用支出'!$AM$10:$AM$4011,'仕入修正'!H51,'[2]費用支出'!$AL$10:$AL$4011)</f>
        <v>0</v>
      </c>
    </row>
    <row r="52" spans="1:16" ht="15.75" hidden="1" thickBot="1">
      <c r="A52" s="4">
        <v>55</v>
      </c>
      <c r="E52" s="4">
        <v>1</v>
      </c>
      <c r="F52" s="4">
        <v>2</v>
      </c>
      <c r="G52" s="380">
        <f t="shared" si="5"/>
        <v>551</v>
      </c>
      <c r="H52" s="380">
        <f t="shared" si="5"/>
        <v>552</v>
      </c>
      <c r="K52" s="146" t="s">
        <v>40</v>
      </c>
      <c r="L52" s="147">
        <f>SUMIF('[2]費用支出'!$AB$10:$AB$4011,55,'[2]費用支出'!$F$10:$F$4011)+SUMIF('[2]複合仕訳'!$N$15:$W$15,55,'[2]複合仕訳'!$N$4:$W$4)</f>
        <v>0</v>
      </c>
      <c r="M52" s="148">
        <f>SUMIF('[2]費用支出'!$AB$10:$AB$4011,55,'[2]費用支出'!$AI$10:$AI$4011)+SUMIF('[2]複合仕訳'!$N$15:$W$15,55,'[2]複合仕訳'!$N$7:$W$7)</f>
        <v>0</v>
      </c>
      <c r="O52" s="164">
        <f>SUMIF('[2]費用支出'!$AM$10:$AM$4011,'仕入修正'!G52,'[2]費用支出'!$AL$10:$AL$4011)</f>
        <v>0</v>
      </c>
      <c r="P52" s="319">
        <f>SUMIF('[2]費用支出'!$AM$10:$AM$4011,'仕入修正'!H52,'[2]費用支出'!$AL$10:$AL$4011)</f>
        <v>0</v>
      </c>
    </row>
    <row r="53" ht="15" hidden="1"/>
  </sheetData>
  <sheetProtection/>
  <mergeCells count="31">
    <mergeCell ref="J37:J41"/>
    <mergeCell ref="J35:J36"/>
    <mergeCell ref="J3:J4"/>
    <mergeCell ref="K2:L2"/>
    <mergeCell ref="K35:K36"/>
    <mergeCell ref="L35:L36"/>
    <mergeCell ref="J5:J33"/>
    <mergeCell ref="N3:N4"/>
    <mergeCell ref="M35:M36"/>
    <mergeCell ref="N35:N36"/>
    <mergeCell ref="K3:K4"/>
    <mergeCell ref="L3:L4"/>
    <mergeCell ref="M3:M4"/>
    <mergeCell ref="W5:W10"/>
    <mergeCell ref="R5:V10"/>
    <mergeCell ref="T15:T16"/>
    <mergeCell ref="U15:U16"/>
    <mergeCell ref="R11:R17"/>
    <mergeCell ref="S11:S17"/>
    <mergeCell ref="T11:T14"/>
    <mergeCell ref="U13:U14"/>
    <mergeCell ref="V13:V14"/>
    <mergeCell ref="V15:V16"/>
    <mergeCell ref="V20:V21"/>
    <mergeCell ref="V22:V23"/>
    <mergeCell ref="U22:U23"/>
    <mergeCell ref="U20:U21"/>
    <mergeCell ref="R18:R24"/>
    <mergeCell ref="S18:S24"/>
    <mergeCell ref="T18:T21"/>
    <mergeCell ref="T22:T23"/>
  </mergeCells>
  <printOptions horizontalCentered="1"/>
  <pageMargins left="0.35" right="0.31" top="0.7" bottom="0.51" header="0.512" footer="0.512"/>
  <pageSetup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31">
    <tabColor indexed="50"/>
  </sheetPr>
  <dimension ref="A1:S53"/>
  <sheetViews>
    <sheetView zoomScale="75" zoomScaleNormal="75" zoomScalePageLayoutView="0" workbookViewId="0" topLeftCell="A1">
      <selection activeCell="A1" sqref="A1:IV16384"/>
    </sheetView>
  </sheetViews>
  <sheetFormatPr defaultColWidth="10.00390625" defaultRowHeight="13.5"/>
  <cols>
    <col min="1" max="1" width="1.875" style="4" customWidth="1"/>
    <col min="2" max="2" width="5.00390625" style="4" customWidth="1"/>
    <col min="3" max="3" width="29.50390625" style="4" customWidth="1"/>
    <col min="4" max="4" width="7.00390625" style="4" customWidth="1"/>
    <col min="5" max="5" width="4.375" style="4" customWidth="1"/>
    <col min="6" max="6" width="18.375" style="4" customWidth="1"/>
    <col min="7" max="7" width="18.25390625" style="4" customWidth="1"/>
    <col min="8" max="10" width="18.625" style="4" customWidth="1"/>
    <col min="11" max="11" width="2.25390625" style="4" customWidth="1"/>
    <col min="12" max="12" width="7.50390625" style="4" customWidth="1"/>
    <col min="13" max="13" width="43.875" style="4" customWidth="1"/>
    <col min="14" max="14" width="13.25390625" style="4" customWidth="1"/>
    <col min="15" max="15" width="22.375" style="4" customWidth="1"/>
    <col min="16" max="16" width="18.375" style="4" customWidth="1"/>
    <col min="17" max="17" width="22.25390625" style="4" customWidth="1"/>
    <col min="18" max="16384" width="10.00390625" style="4" customWidth="1"/>
  </cols>
  <sheetData>
    <row r="1" spans="1:16" ht="26.25" customHeight="1">
      <c r="A1" s="154"/>
      <c r="B1" s="155"/>
      <c r="C1" s="156"/>
      <c r="D1" s="1"/>
      <c r="E1" s="2"/>
      <c r="F1" s="1"/>
      <c r="G1" s="1"/>
      <c r="H1" s="1"/>
      <c r="I1" s="1"/>
      <c r="J1" s="157"/>
      <c r="K1" s="157"/>
      <c r="L1" s="157"/>
      <c r="M1" s="157"/>
      <c r="N1" s="157"/>
      <c r="O1" s="157"/>
      <c r="P1" s="157"/>
    </row>
    <row r="2" spans="1:16" ht="18.75">
      <c r="A2" s="157"/>
      <c r="B2" s="355" t="s">
        <v>113</v>
      </c>
      <c r="C2" s="355"/>
      <c r="D2" s="355"/>
      <c r="E2" s="355"/>
      <c r="F2" s="355"/>
      <c r="G2" s="355"/>
      <c r="H2" s="605" t="s">
        <v>117</v>
      </c>
      <c r="I2" s="164"/>
      <c r="J2" s="181"/>
      <c r="K2" s="157"/>
      <c r="L2" s="157"/>
      <c r="M2" s="157"/>
      <c r="N2" s="157"/>
      <c r="O2" s="157"/>
      <c r="P2" s="157"/>
    </row>
    <row r="3" spans="1:19" ht="53.25" customHeight="1">
      <c r="A3" s="155"/>
      <c r="B3" s="594" t="s">
        <v>114</v>
      </c>
      <c r="C3" s="595"/>
      <c r="D3" s="595"/>
      <c r="E3" s="596"/>
      <c r="F3" s="158" t="s">
        <v>115</v>
      </c>
      <c r="G3" s="356" t="s">
        <v>116</v>
      </c>
      <c r="H3" s="605"/>
      <c r="I3" s="184" t="s">
        <v>542</v>
      </c>
      <c r="J3" s="184" t="s">
        <v>543</v>
      </c>
      <c r="K3" s="155"/>
      <c r="L3" s="155"/>
      <c r="M3" s="155"/>
      <c r="N3" s="155"/>
      <c r="O3" s="155"/>
      <c r="P3" s="155"/>
      <c r="Q3" s="159"/>
      <c r="S3" s="348"/>
    </row>
    <row r="4" spans="1:19" ht="15">
      <c r="A4" s="155"/>
      <c r="B4" s="597" t="s">
        <v>118</v>
      </c>
      <c r="C4" s="580" t="s">
        <v>119</v>
      </c>
      <c r="D4" s="580"/>
      <c r="E4" s="418">
        <v>1</v>
      </c>
      <c r="F4" s="447">
        <f>'売上修正'!M6+'売上修正'!M10+'売上修正'!M11+'売上修正'!M12</f>
        <v>0</v>
      </c>
      <c r="G4" s="447">
        <f>SUM('売上修正'!N6:O6,'売上修正'!N10:O12)</f>
        <v>0</v>
      </c>
      <c r="H4" s="448">
        <f>F4-G4</f>
        <v>0</v>
      </c>
      <c r="I4" s="449">
        <f>'売上修正'!Q6+'売上修正'!Q10+'売上修正'!Q11+'売上修正'!Q12</f>
        <v>0</v>
      </c>
      <c r="J4" s="449">
        <f>'売上修正'!R6+'売上修正'!R10+'売上修正'!R11+'売上修正'!R12</f>
        <v>0</v>
      </c>
      <c r="K4" s="155"/>
      <c r="L4" s="155"/>
      <c r="M4" s="155"/>
      <c r="N4" s="155"/>
      <c r="O4" s="155"/>
      <c r="P4" s="155"/>
      <c r="Q4" s="159"/>
      <c r="S4"/>
    </row>
    <row r="5" spans="1:19" ht="15">
      <c r="A5" s="155"/>
      <c r="B5" s="597"/>
      <c r="C5" s="580" t="s">
        <v>120</v>
      </c>
      <c r="D5" s="580"/>
      <c r="E5" s="598">
        <v>2</v>
      </c>
      <c r="F5" s="447">
        <f>'売上修正'!M7</f>
        <v>0</v>
      </c>
      <c r="G5" s="447">
        <f>'売上修正'!N7+'売上修正'!O7</f>
        <v>0</v>
      </c>
      <c r="H5" s="450">
        <f>F5-G5</f>
        <v>0</v>
      </c>
      <c r="I5" s="449">
        <f>'売上修正'!Q7</f>
        <v>0</v>
      </c>
      <c r="J5" s="449">
        <f>'売上修正'!R7</f>
        <v>0</v>
      </c>
      <c r="K5" s="155"/>
      <c r="L5" s="155"/>
      <c r="M5" s="155"/>
      <c r="N5" s="155"/>
      <c r="O5" s="155"/>
      <c r="P5" s="155"/>
      <c r="Q5" s="159"/>
      <c r="S5"/>
    </row>
    <row r="6" spans="1:19" ht="15">
      <c r="A6" s="155"/>
      <c r="B6" s="597"/>
      <c r="C6" s="580" t="s">
        <v>121</v>
      </c>
      <c r="D6" s="580"/>
      <c r="E6" s="598"/>
      <c r="F6" s="447"/>
      <c r="G6" s="447"/>
      <c r="H6" s="450"/>
      <c r="I6" s="449"/>
      <c r="J6" s="449"/>
      <c r="K6" s="155"/>
      <c r="L6" s="155"/>
      <c r="M6" s="155"/>
      <c r="N6" s="155"/>
      <c r="O6" s="155"/>
      <c r="P6" s="155"/>
      <c r="Q6" s="159"/>
      <c r="S6"/>
    </row>
    <row r="7" spans="1:19" ht="15">
      <c r="A7" s="155"/>
      <c r="B7" s="597"/>
      <c r="C7" s="580" t="s">
        <v>122</v>
      </c>
      <c r="D7" s="580"/>
      <c r="E7" s="418">
        <v>3</v>
      </c>
      <c r="F7" s="447">
        <f>'売上修正'!M8+'売上修正'!M9</f>
        <v>0</v>
      </c>
      <c r="G7" s="447">
        <f>'売上修正'!N8+'売上修正'!O8+'売上修正'!N9+'売上修正'!O9</f>
        <v>0</v>
      </c>
      <c r="H7" s="450">
        <f>F7-G7</f>
        <v>0</v>
      </c>
      <c r="I7" s="449">
        <f>'売上修正'!Q8+'売上修正'!Q9</f>
        <v>0</v>
      </c>
      <c r="J7" s="449">
        <f>'売上修正'!R8+'売上修正'!R9</f>
        <v>0</v>
      </c>
      <c r="K7" s="155"/>
      <c r="L7" s="155"/>
      <c r="M7" s="155"/>
      <c r="N7" s="155"/>
      <c r="O7" s="155"/>
      <c r="P7" s="155"/>
      <c r="Q7" s="159"/>
      <c r="S7"/>
    </row>
    <row r="8" spans="1:19" ht="15">
      <c r="A8" s="155"/>
      <c r="B8" s="597"/>
      <c r="C8" s="160" t="s">
        <v>123</v>
      </c>
      <c r="D8" s="420"/>
      <c r="E8" s="418"/>
      <c r="F8" s="447"/>
      <c r="G8" s="447"/>
      <c r="H8" s="450">
        <f>F8-G8</f>
        <v>0</v>
      </c>
      <c r="I8" s="449"/>
      <c r="J8" s="449"/>
      <c r="K8" s="155"/>
      <c r="L8" s="155"/>
      <c r="M8" s="155"/>
      <c r="N8" s="155"/>
      <c r="O8" s="155"/>
      <c r="P8" s="155"/>
      <c r="Q8" s="159"/>
      <c r="S8"/>
    </row>
    <row r="9" spans="1:19" ht="15">
      <c r="A9" s="155"/>
      <c r="B9" s="597"/>
      <c r="C9" s="601" t="s">
        <v>124</v>
      </c>
      <c r="D9" s="602"/>
      <c r="E9" s="418">
        <v>4</v>
      </c>
      <c r="F9" s="447">
        <f>SUM(F4:F8)</f>
        <v>0</v>
      </c>
      <c r="G9" s="447">
        <f>SUM(G4:G8)</f>
        <v>0</v>
      </c>
      <c r="H9" s="450">
        <f>F9-G9</f>
        <v>0</v>
      </c>
      <c r="I9" s="447">
        <f>SUM(I4:I8)</f>
        <v>0</v>
      </c>
      <c r="J9" s="447">
        <f>SUM(J4:J8)</f>
        <v>0</v>
      </c>
      <c r="K9" s="155"/>
      <c r="L9" s="155"/>
      <c r="M9" s="155"/>
      <c r="N9" s="155"/>
      <c r="O9" s="155"/>
      <c r="P9" s="155"/>
      <c r="Q9" s="159"/>
      <c r="S9"/>
    </row>
    <row r="10" spans="1:19" ht="15">
      <c r="A10" s="155"/>
      <c r="B10" s="597"/>
      <c r="C10" s="588" t="s">
        <v>125</v>
      </c>
      <c r="D10" s="415" t="s">
        <v>126</v>
      </c>
      <c r="E10" s="418">
        <v>5</v>
      </c>
      <c r="F10" s="450">
        <f>'仕入修正'!V11+'仕入修正'!V12+'仕入修正'!V13</f>
        <v>0</v>
      </c>
      <c r="G10" s="451"/>
      <c r="H10" s="451"/>
      <c r="I10" s="449"/>
      <c r="J10" s="449"/>
      <c r="K10" s="155"/>
      <c r="L10" s="155"/>
      <c r="M10" s="155"/>
      <c r="N10" s="155"/>
      <c r="O10" s="155"/>
      <c r="P10" s="155"/>
      <c r="Q10" s="159"/>
      <c r="S10"/>
    </row>
    <row r="11" spans="1:19" ht="15">
      <c r="A11" s="155"/>
      <c r="B11" s="597"/>
      <c r="C11" s="589"/>
      <c r="D11" s="415" t="s">
        <v>127</v>
      </c>
      <c r="E11" s="418">
        <v>6</v>
      </c>
      <c r="F11" s="450">
        <f>'仕入修正'!V18+'仕入修正'!V19+'仕入修正'!V20</f>
        <v>0</v>
      </c>
      <c r="G11" s="451"/>
      <c r="H11" s="451"/>
      <c r="I11" s="449"/>
      <c r="J11" s="449"/>
      <c r="K11" s="155"/>
      <c r="L11" s="155"/>
      <c r="M11" s="155"/>
      <c r="N11" s="155"/>
      <c r="O11" s="155"/>
      <c r="P11" s="155"/>
      <c r="Q11" s="159"/>
      <c r="S11"/>
    </row>
    <row r="12" spans="1:19" ht="15.75" thickBot="1">
      <c r="A12" s="155"/>
      <c r="B12" s="597"/>
      <c r="C12" s="421" t="s">
        <v>128</v>
      </c>
      <c r="D12" s="416"/>
      <c r="E12" s="418">
        <v>7</v>
      </c>
      <c r="F12" s="450">
        <f>F9-'取引計算表'!F10+'取引計算表'!F11</f>
        <v>0</v>
      </c>
      <c r="G12" s="451"/>
      <c r="H12" s="451"/>
      <c r="I12" s="449"/>
      <c r="J12" s="449"/>
      <c r="K12" s="155"/>
      <c r="L12" s="155"/>
      <c r="M12" s="155"/>
      <c r="N12" s="155"/>
      <c r="O12" s="155"/>
      <c r="P12" s="155"/>
      <c r="Q12" s="159"/>
      <c r="S12"/>
    </row>
    <row r="13" spans="1:17" ht="15">
      <c r="A13" s="157"/>
      <c r="B13" s="583" t="s">
        <v>129</v>
      </c>
      <c r="C13" s="162" t="str">
        <f>'仕入修正'!K5</f>
        <v>***</v>
      </c>
      <c r="D13" s="163"/>
      <c r="E13" s="164">
        <v>8</v>
      </c>
      <c r="F13" s="450">
        <f>'仕入修正'!L5</f>
        <v>0</v>
      </c>
      <c r="G13" s="450">
        <f>'仕入修正'!M5</f>
        <v>0</v>
      </c>
      <c r="H13" s="450">
        <f aca="true" t="shared" si="0" ref="H13:H38">F13-G13</f>
        <v>0</v>
      </c>
      <c r="I13" s="449">
        <f>'仕入修正'!O5</f>
        <v>0</v>
      </c>
      <c r="J13" s="449">
        <f>'仕入修正'!P5</f>
        <v>0</v>
      </c>
      <c r="L13" s="539">
        <f>'仕入修正'!R5</f>
      </c>
      <c r="M13" s="607"/>
      <c r="N13" s="607"/>
      <c r="O13" s="607"/>
      <c r="P13" s="608"/>
      <c r="Q13" s="536" t="s">
        <v>101</v>
      </c>
    </row>
    <row r="14" spans="1:17" ht="15">
      <c r="A14" s="157"/>
      <c r="B14" s="584"/>
      <c r="C14" s="162" t="str">
        <f>'仕入修正'!K6</f>
        <v>***</v>
      </c>
      <c r="D14" s="163"/>
      <c r="E14" s="164">
        <v>9</v>
      </c>
      <c r="F14" s="450">
        <f>'仕入修正'!L6</f>
        <v>0</v>
      </c>
      <c r="G14" s="450">
        <f>'仕入修正'!M6</f>
        <v>0</v>
      </c>
      <c r="H14" s="450">
        <f t="shared" si="0"/>
        <v>0</v>
      </c>
      <c r="I14" s="449">
        <f>'仕入修正'!O6</f>
        <v>0</v>
      </c>
      <c r="J14" s="449">
        <f>'仕入修正'!P6</f>
        <v>0</v>
      </c>
      <c r="L14" s="609"/>
      <c r="M14" s="610"/>
      <c r="N14" s="610"/>
      <c r="O14" s="610"/>
      <c r="P14" s="611"/>
      <c r="Q14" s="537"/>
    </row>
    <row r="15" spans="1:17" ht="15">
      <c r="A15" s="157"/>
      <c r="B15" s="584"/>
      <c r="C15" s="162" t="str">
        <f>'仕入修正'!K7</f>
        <v>***</v>
      </c>
      <c r="D15" s="163"/>
      <c r="E15" s="164">
        <v>10</v>
      </c>
      <c r="F15" s="450">
        <f>'仕入修正'!L7</f>
        <v>0</v>
      </c>
      <c r="G15" s="450">
        <f>'仕入修正'!M7</f>
        <v>0</v>
      </c>
      <c r="H15" s="450">
        <f t="shared" si="0"/>
        <v>0</v>
      </c>
      <c r="I15" s="449">
        <f>'仕入修正'!O7</f>
        <v>0</v>
      </c>
      <c r="J15" s="449">
        <f>'仕入修正'!P7</f>
        <v>0</v>
      </c>
      <c r="L15" s="609"/>
      <c r="M15" s="610"/>
      <c r="N15" s="610"/>
      <c r="O15" s="610"/>
      <c r="P15" s="611"/>
      <c r="Q15" s="537"/>
    </row>
    <row r="16" spans="1:17" ht="15">
      <c r="A16" s="157"/>
      <c r="B16" s="584"/>
      <c r="C16" s="162" t="str">
        <f>'仕入修正'!K8</f>
        <v>***</v>
      </c>
      <c r="D16" s="163"/>
      <c r="E16" s="164">
        <v>11</v>
      </c>
      <c r="F16" s="450">
        <f>'仕入修正'!L8</f>
        <v>0</v>
      </c>
      <c r="G16" s="450">
        <f>'仕入修正'!M8</f>
        <v>0</v>
      </c>
      <c r="H16" s="450">
        <f t="shared" si="0"/>
        <v>0</v>
      </c>
      <c r="I16" s="449">
        <f>'仕入修正'!O8</f>
        <v>0</v>
      </c>
      <c r="J16" s="449">
        <f>'仕入修正'!P8</f>
        <v>0</v>
      </c>
      <c r="L16" s="609"/>
      <c r="M16" s="610"/>
      <c r="N16" s="610"/>
      <c r="O16" s="610"/>
      <c r="P16" s="611"/>
      <c r="Q16" s="537"/>
    </row>
    <row r="17" spans="1:17" ht="15">
      <c r="A17" s="157"/>
      <c r="B17" s="584"/>
      <c r="C17" s="162" t="str">
        <f>'仕入修正'!K9</f>
        <v>***</v>
      </c>
      <c r="D17" s="163"/>
      <c r="E17" s="164">
        <v>12</v>
      </c>
      <c r="F17" s="450">
        <f>'仕入修正'!L9</f>
        <v>0</v>
      </c>
      <c r="G17" s="450">
        <f>'仕入修正'!M9</f>
        <v>0</v>
      </c>
      <c r="H17" s="450">
        <f t="shared" si="0"/>
        <v>0</v>
      </c>
      <c r="I17" s="449">
        <f>'仕入修正'!O9</f>
        <v>0</v>
      </c>
      <c r="J17" s="449">
        <f>'仕入修正'!P9</f>
        <v>0</v>
      </c>
      <c r="L17" s="609"/>
      <c r="M17" s="610"/>
      <c r="N17" s="610"/>
      <c r="O17" s="610"/>
      <c r="P17" s="611"/>
      <c r="Q17" s="537"/>
    </row>
    <row r="18" spans="1:17" ht="15.75" thickBot="1">
      <c r="A18" s="157"/>
      <c r="B18" s="584"/>
      <c r="C18" s="162" t="str">
        <f>'仕入修正'!K10</f>
        <v>***</v>
      </c>
      <c r="D18" s="163"/>
      <c r="E18" s="164">
        <v>13</v>
      </c>
      <c r="F18" s="450">
        <f>'仕入修正'!L10</f>
        <v>0</v>
      </c>
      <c r="G18" s="450">
        <f>'仕入修正'!M10</f>
        <v>0</v>
      </c>
      <c r="H18" s="450">
        <f t="shared" si="0"/>
        <v>0</v>
      </c>
      <c r="I18" s="449">
        <f>'仕入修正'!O10</f>
        <v>0</v>
      </c>
      <c r="J18" s="449">
        <f>'仕入修正'!P10</f>
        <v>0</v>
      </c>
      <c r="L18" s="612"/>
      <c r="M18" s="613"/>
      <c r="N18" s="613"/>
      <c r="O18" s="613"/>
      <c r="P18" s="614"/>
      <c r="Q18" s="538"/>
    </row>
    <row r="19" spans="1:17" ht="15">
      <c r="A19" s="157"/>
      <c r="B19" s="584"/>
      <c r="C19" s="162" t="str">
        <f>'仕入修正'!K11</f>
        <v>***</v>
      </c>
      <c r="D19" s="163"/>
      <c r="E19" s="164">
        <v>14</v>
      </c>
      <c r="F19" s="450">
        <f>'仕入修正'!L11</f>
        <v>0</v>
      </c>
      <c r="G19" s="450">
        <f>'仕入修正'!M11</f>
        <v>0</v>
      </c>
      <c r="H19" s="450">
        <f t="shared" si="0"/>
        <v>0</v>
      </c>
      <c r="I19" s="449">
        <f>'仕入修正'!O11</f>
        <v>0</v>
      </c>
      <c r="J19" s="449">
        <f>'仕入修正'!P11</f>
        <v>0</v>
      </c>
      <c r="L19" s="525" t="s">
        <v>130</v>
      </c>
      <c r="M19" s="528" t="s">
        <v>103</v>
      </c>
      <c r="N19" s="552" t="s">
        <v>104</v>
      </c>
      <c r="O19" s="165" t="s">
        <v>42</v>
      </c>
      <c r="P19" s="127">
        <f>'仕入修正'!V11</f>
        <v>0</v>
      </c>
      <c r="Q19" s="128"/>
    </row>
    <row r="20" spans="1:17" ht="15">
      <c r="A20" s="157"/>
      <c r="B20" s="584"/>
      <c r="C20" s="162" t="str">
        <f>'仕入修正'!K12</f>
        <v>***</v>
      </c>
      <c r="D20" s="163"/>
      <c r="E20" s="164">
        <v>15</v>
      </c>
      <c r="F20" s="450">
        <f>'仕入修正'!L12</f>
        <v>0</v>
      </c>
      <c r="G20" s="450">
        <f>'仕入修正'!M12</f>
        <v>0</v>
      </c>
      <c r="H20" s="450">
        <f t="shared" si="0"/>
        <v>0</v>
      </c>
      <c r="I20" s="449">
        <f>'仕入修正'!O12</f>
        <v>0</v>
      </c>
      <c r="J20" s="449">
        <f>'仕入修正'!P12</f>
        <v>0</v>
      </c>
      <c r="L20" s="526"/>
      <c r="M20" s="529"/>
      <c r="N20" s="553"/>
      <c r="O20" s="166" t="s">
        <v>43</v>
      </c>
      <c r="P20" s="127">
        <f>'仕入修正'!V12</f>
        <v>0</v>
      </c>
      <c r="Q20" s="129"/>
    </row>
    <row r="21" spans="1:17" ht="15">
      <c r="A21" s="157"/>
      <c r="B21" s="584"/>
      <c r="C21" s="162" t="str">
        <f>'仕入修正'!K13</f>
        <v>***</v>
      </c>
      <c r="D21" s="163"/>
      <c r="E21" s="164">
        <v>16</v>
      </c>
      <c r="F21" s="450">
        <f>'仕入修正'!L13</f>
        <v>0</v>
      </c>
      <c r="G21" s="450">
        <f>'仕入修正'!M13</f>
        <v>0</v>
      </c>
      <c r="H21" s="450">
        <f t="shared" si="0"/>
        <v>0</v>
      </c>
      <c r="I21" s="449">
        <f>'仕入修正'!O13</f>
        <v>0</v>
      </c>
      <c r="J21" s="449">
        <f>'仕入修正'!P13</f>
        <v>0</v>
      </c>
      <c r="L21" s="526"/>
      <c r="M21" s="529"/>
      <c r="N21" s="553"/>
      <c r="O21" s="603" t="s">
        <v>131</v>
      </c>
      <c r="P21" s="518">
        <f>'仕入修正'!V13</f>
        <v>0</v>
      </c>
      <c r="Q21" s="129"/>
    </row>
    <row r="22" spans="1:17" ht="15">
      <c r="A22" s="157"/>
      <c r="B22" s="584"/>
      <c r="C22" s="162" t="str">
        <f>'仕入修正'!K14</f>
        <v>***</v>
      </c>
      <c r="D22" s="163"/>
      <c r="E22" s="164">
        <v>17</v>
      </c>
      <c r="F22" s="450">
        <f>'仕入修正'!L14</f>
        <v>0</v>
      </c>
      <c r="G22" s="450">
        <f>'仕入修正'!M14</f>
        <v>0</v>
      </c>
      <c r="H22" s="450">
        <f t="shared" si="0"/>
        <v>0</v>
      </c>
      <c r="I22" s="449">
        <f>'仕入修正'!O14</f>
        <v>0</v>
      </c>
      <c r="J22" s="449">
        <f>'仕入修正'!P14</f>
        <v>0</v>
      </c>
      <c r="L22" s="526"/>
      <c r="M22" s="529"/>
      <c r="N22" s="554"/>
      <c r="O22" s="604"/>
      <c r="P22" s="519">
        <f>'仕入修正'!V14</f>
        <v>0</v>
      </c>
      <c r="Q22" s="129"/>
    </row>
    <row r="23" spans="1:17" ht="15">
      <c r="A23" s="157"/>
      <c r="B23" s="584"/>
      <c r="C23" s="162" t="str">
        <f>'仕入修正'!K15</f>
        <v>***</v>
      </c>
      <c r="D23" s="163"/>
      <c r="E23" s="164">
        <v>18</v>
      </c>
      <c r="F23" s="450">
        <f>'仕入修正'!L15</f>
        <v>0</v>
      </c>
      <c r="G23" s="450">
        <f>'仕入修正'!M15</f>
        <v>0</v>
      </c>
      <c r="H23" s="450">
        <f t="shared" si="0"/>
        <v>0</v>
      </c>
      <c r="I23" s="449">
        <f>'仕入修正'!O15</f>
        <v>0</v>
      </c>
      <c r="J23" s="449">
        <f>'仕入修正'!P15</f>
        <v>0</v>
      </c>
      <c r="L23" s="526"/>
      <c r="M23" s="529"/>
      <c r="N23" s="548" t="s">
        <v>132</v>
      </c>
      <c r="O23" s="592" t="s">
        <v>44</v>
      </c>
      <c r="P23" s="557">
        <f>'仕入修正'!V15</f>
        <v>0</v>
      </c>
      <c r="Q23" s="129"/>
    </row>
    <row r="24" spans="1:17" ht="15.75" thickBot="1">
      <c r="A24" s="157"/>
      <c r="B24" s="584"/>
      <c r="C24" s="162" t="str">
        <f>'仕入修正'!K16</f>
        <v>***</v>
      </c>
      <c r="D24" s="163"/>
      <c r="E24" s="164">
        <v>19</v>
      </c>
      <c r="F24" s="450">
        <f>'仕入修正'!L16</f>
        <v>0</v>
      </c>
      <c r="G24" s="450">
        <f>'仕入修正'!M16</f>
        <v>0</v>
      </c>
      <c r="H24" s="450">
        <f t="shared" si="0"/>
        <v>0</v>
      </c>
      <c r="I24" s="449">
        <f>'仕入修正'!O16</f>
        <v>0</v>
      </c>
      <c r="J24" s="449">
        <f>'仕入修正'!P16</f>
        <v>0</v>
      </c>
      <c r="L24" s="526"/>
      <c r="M24" s="529"/>
      <c r="N24" s="549"/>
      <c r="O24" s="593"/>
      <c r="P24" s="558">
        <f>'仕入修正'!V16</f>
        <v>0</v>
      </c>
      <c r="Q24" s="129"/>
    </row>
    <row r="25" spans="1:17" ht="15.75" thickBot="1">
      <c r="A25" s="157"/>
      <c r="B25" s="584"/>
      <c r="C25" s="162" t="str">
        <f>'仕入修正'!K30</f>
        <v>***</v>
      </c>
      <c r="D25" s="163"/>
      <c r="E25" s="164">
        <v>20</v>
      </c>
      <c r="F25" s="450">
        <f>'仕入修正'!L30</f>
        <v>0</v>
      </c>
      <c r="G25" s="450">
        <f>'仕入修正'!M30</f>
        <v>0</v>
      </c>
      <c r="H25" s="450">
        <f t="shared" si="0"/>
        <v>0</v>
      </c>
      <c r="I25" s="449">
        <f>'仕入修正'!O17</f>
        <v>0</v>
      </c>
      <c r="J25" s="449">
        <f>'仕入修正'!P17</f>
        <v>0</v>
      </c>
      <c r="L25" s="527"/>
      <c r="M25" s="530"/>
      <c r="N25" s="130"/>
      <c r="O25" s="131" t="s">
        <v>106</v>
      </c>
      <c r="P25" s="74">
        <f>'仕入修正'!V17</f>
        <v>0</v>
      </c>
      <c r="Q25" s="132">
        <f>'仕入修正'!W17</f>
        <v>0</v>
      </c>
    </row>
    <row r="26" spans="1:17" ht="15">
      <c r="A26" s="157"/>
      <c r="B26" s="584"/>
      <c r="C26" s="162" t="str">
        <f>'仕入修正'!K17</f>
        <v>***</v>
      </c>
      <c r="D26" s="163"/>
      <c r="E26" s="164">
        <v>21</v>
      </c>
      <c r="F26" s="450">
        <f>'仕入修正'!L17</f>
        <v>0</v>
      </c>
      <c r="G26" s="450">
        <f>'仕入修正'!M17</f>
        <v>0</v>
      </c>
      <c r="H26" s="450">
        <f t="shared" si="0"/>
        <v>0</v>
      </c>
      <c r="I26" s="449">
        <f>'仕入修正'!O18</f>
        <v>0</v>
      </c>
      <c r="J26" s="449">
        <f>'仕入修正'!P18</f>
        <v>0</v>
      </c>
      <c r="L26" s="525" t="s">
        <v>70</v>
      </c>
      <c r="M26" s="528" t="s">
        <v>107</v>
      </c>
      <c r="N26" s="552" t="s">
        <v>108</v>
      </c>
      <c r="O26" s="165" t="s">
        <v>45</v>
      </c>
      <c r="P26" s="127">
        <f>'仕入修正'!V18</f>
        <v>0</v>
      </c>
      <c r="Q26" s="129"/>
    </row>
    <row r="27" spans="1:17" ht="15">
      <c r="A27" s="157"/>
      <c r="B27" s="584"/>
      <c r="C27" s="162" t="str">
        <f>'仕入修正'!K18</f>
        <v>***</v>
      </c>
      <c r="D27" s="163"/>
      <c r="E27" s="164">
        <v>22</v>
      </c>
      <c r="F27" s="450">
        <f>'仕入修正'!L18</f>
        <v>0</v>
      </c>
      <c r="G27" s="450">
        <f>'仕入修正'!M18</f>
        <v>0</v>
      </c>
      <c r="H27" s="450">
        <f t="shared" si="0"/>
        <v>0</v>
      </c>
      <c r="I27" s="449">
        <f>'仕入修正'!O19</f>
        <v>0</v>
      </c>
      <c r="J27" s="449">
        <f>'仕入修正'!P19</f>
        <v>0</v>
      </c>
      <c r="L27" s="526"/>
      <c r="M27" s="529"/>
      <c r="N27" s="553"/>
      <c r="O27" s="167" t="s">
        <v>46</v>
      </c>
      <c r="P27" s="127">
        <f>'仕入修正'!V19</f>
        <v>0</v>
      </c>
      <c r="Q27" s="129"/>
    </row>
    <row r="28" spans="1:17" ht="15">
      <c r="A28" s="157"/>
      <c r="B28" s="584"/>
      <c r="C28" s="162" t="str">
        <f>'仕入修正'!K28</f>
        <v>***</v>
      </c>
      <c r="D28" s="163"/>
      <c r="E28" s="164">
        <v>23</v>
      </c>
      <c r="F28" s="450">
        <f>'仕入修正'!L28</f>
        <v>0</v>
      </c>
      <c r="G28" s="450">
        <f>'仕入修正'!M28</f>
        <v>0</v>
      </c>
      <c r="H28" s="450">
        <f t="shared" si="0"/>
        <v>0</v>
      </c>
      <c r="I28" s="449">
        <f>'仕入修正'!O20</f>
        <v>0</v>
      </c>
      <c r="J28" s="449">
        <f>'仕入修正'!P20</f>
        <v>0</v>
      </c>
      <c r="L28" s="526"/>
      <c r="M28" s="529"/>
      <c r="N28" s="553"/>
      <c r="O28" s="603" t="s">
        <v>47</v>
      </c>
      <c r="P28" s="518">
        <f>'仕入修正'!V20</f>
        <v>0</v>
      </c>
      <c r="Q28" s="129"/>
    </row>
    <row r="29" spans="1:17" ht="15">
      <c r="A29" s="157"/>
      <c r="B29" s="584"/>
      <c r="C29" s="162" t="str">
        <f>'仕入修正'!K19</f>
        <v>***</v>
      </c>
      <c r="D29" s="163"/>
      <c r="E29" s="164">
        <v>24</v>
      </c>
      <c r="F29" s="450">
        <f>'仕入修正'!L19</f>
        <v>0</v>
      </c>
      <c r="G29" s="450">
        <f>'仕入修正'!M19</f>
        <v>0</v>
      </c>
      <c r="H29" s="450">
        <f t="shared" si="0"/>
        <v>0</v>
      </c>
      <c r="I29" s="449">
        <f>'仕入修正'!O21</f>
        <v>0</v>
      </c>
      <c r="J29" s="449">
        <f>'仕入修正'!P21</f>
        <v>0</v>
      </c>
      <c r="L29" s="526"/>
      <c r="M29" s="529"/>
      <c r="N29" s="554"/>
      <c r="O29" s="604"/>
      <c r="P29" s="519">
        <f>'仕入修正'!V21</f>
        <v>0</v>
      </c>
      <c r="Q29" s="129"/>
    </row>
    <row r="30" spans="1:17" ht="15">
      <c r="A30" s="157"/>
      <c r="B30" s="584"/>
      <c r="C30" s="162" t="str">
        <f>'仕入修正'!K20</f>
        <v>***</v>
      </c>
      <c r="D30" s="163"/>
      <c r="E30" s="164">
        <v>25</v>
      </c>
      <c r="F30" s="450">
        <f>'仕入修正'!L20</f>
        <v>0</v>
      </c>
      <c r="G30" s="450">
        <f>'仕入修正'!M20</f>
        <v>0</v>
      </c>
      <c r="H30" s="450">
        <f t="shared" si="0"/>
        <v>0</v>
      </c>
      <c r="I30" s="449">
        <f>'仕入修正'!O22</f>
        <v>0</v>
      </c>
      <c r="J30" s="449">
        <f>'仕入修正'!P22</f>
        <v>0</v>
      </c>
      <c r="L30" s="526"/>
      <c r="M30" s="529"/>
      <c r="N30" s="548" t="s">
        <v>109</v>
      </c>
      <c r="O30" s="592" t="s">
        <v>48</v>
      </c>
      <c r="P30" s="520">
        <f>'仕入修正'!V22</f>
        <v>0</v>
      </c>
      <c r="Q30" s="129"/>
    </row>
    <row r="31" spans="1:17" ht="15.75" thickBot="1">
      <c r="A31" s="157"/>
      <c r="B31" s="584"/>
      <c r="C31" s="162" t="str">
        <f>'仕入修正'!K27</f>
        <v>***</v>
      </c>
      <c r="D31" s="163"/>
      <c r="E31" s="164">
        <v>26</v>
      </c>
      <c r="F31" s="450">
        <f>'仕入修正'!L27</f>
        <v>0</v>
      </c>
      <c r="G31" s="450">
        <f>'仕入修正'!M27</f>
        <v>0</v>
      </c>
      <c r="H31" s="450">
        <f t="shared" si="0"/>
        <v>0</v>
      </c>
      <c r="I31" s="449">
        <f>'仕入修正'!O23</f>
        <v>0</v>
      </c>
      <c r="J31" s="449">
        <f>'仕入修正'!P23</f>
        <v>0</v>
      </c>
      <c r="L31" s="526"/>
      <c r="M31" s="529"/>
      <c r="N31" s="549"/>
      <c r="O31" s="606"/>
      <c r="P31" s="521">
        <f>'仕入修正'!V23</f>
        <v>0</v>
      </c>
      <c r="Q31" s="129"/>
    </row>
    <row r="32" spans="1:17" ht="15.75" thickBot="1">
      <c r="A32" s="157"/>
      <c r="B32" s="584"/>
      <c r="C32" s="162" t="str">
        <f>'仕入修正'!K21</f>
        <v>***</v>
      </c>
      <c r="D32" s="163"/>
      <c r="E32" s="164">
        <v>27</v>
      </c>
      <c r="F32" s="450">
        <f>'仕入修正'!L21</f>
        <v>0</v>
      </c>
      <c r="G32" s="450">
        <f>'仕入修正'!M21</f>
        <v>0</v>
      </c>
      <c r="H32" s="450">
        <f t="shared" si="0"/>
        <v>0</v>
      </c>
      <c r="I32" s="449">
        <f>'仕入修正'!O24</f>
        <v>0</v>
      </c>
      <c r="J32" s="449">
        <f>'仕入修正'!P24</f>
        <v>0</v>
      </c>
      <c r="L32" s="527"/>
      <c r="M32" s="530"/>
      <c r="N32" s="168"/>
      <c r="O32" s="131" t="s">
        <v>106</v>
      </c>
      <c r="P32" s="74">
        <f>'仕入修正'!V24</f>
        <v>0</v>
      </c>
      <c r="Q32" s="132">
        <f>'仕入修正'!W24</f>
        <v>0</v>
      </c>
    </row>
    <row r="33" spans="1:19" ht="15">
      <c r="A33" s="157"/>
      <c r="B33" s="584"/>
      <c r="C33" s="162" t="str">
        <f>'仕入修正'!K22</f>
        <v>***</v>
      </c>
      <c r="D33" s="163"/>
      <c r="E33" s="164">
        <v>28</v>
      </c>
      <c r="F33" s="450">
        <f>'仕入修正'!L22</f>
        <v>0</v>
      </c>
      <c r="G33" s="450">
        <f>'仕入修正'!M22</f>
        <v>0</v>
      </c>
      <c r="H33" s="450">
        <f t="shared" si="0"/>
        <v>0</v>
      </c>
      <c r="I33" s="449">
        <f>'仕入修正'!O25</f>
        <v>0</v>
      </c>
      <c r="J33" s="449">
        <f>'仕入修正'!P25</f>
        <v>0</v>
      </c>
      <c r="K33" s="157"/>
      <c r="L33" s="157"/>
      <c r="M33" s="157"/>
      <c r="N33" s="157"/>
      <c r="O33" s="157"/>
      <c r="P33" s="157"/>
      <c r="S33"/>
    </row>
    <row r="34" spans="1:19" ht="15">
      <c r="A34" s="157"/>
      <c r="B34" s="584"/>
      <c r="C34" s="162" t="str">
        <f>'仕入修正'!K29</f>
        <v>***</v>
      </c>
      <c r="D34" s="163"/>
      <c r="E34" s="164">
        <v>29</v>
      </c>
      <c r="F34" s="450">
        <f>'仕入修正'!L29</f>
        <v>0</v>
      </c>
      <c r="G34" s="450">
        <f>'仕入修正'!M29</f>
        <v>0</v>
      </c>
      <c r="H34" s="450">
        <f t="shared" si="0"/>
        <v>0</v>
      </c>
      <c r="I34" s="449">
        <f>'仕入修正'!O26</f>
        <v>0</v>
      </c>
      <c r="J34" s="449">
        <f>'仕入修正'!P26</f>
        <v>0</v>
      </c>
      <c r="K34" s="157"/>
      <c r="L34" s="157"/>
      <c r="M34" s="157"/>
      <c r="N34" s="157"/>
      <c r="O34" s="157"/>
      <c r="P34" s="157"/>
      <c r="S34"/>
    </row>
    <row r="35" spans="1:19" ht="15">
      <c r="A35" s="157"/>
      <c r="B35" s="584"/>
      <c r="C35" s="162" t="str">
        <f>'仕入修正'!K23</f>
        <v>***</v>
      </c>
      <c r="D35" s="163"/>
      <c r="E35" s="164">
        <v>30</v>
      </c>
      <c r="F35" s="450">
        <f>'仕入修正'!L23</f>
        <v>0</v>
      </c>
      <c r="G35" s="450">
        <f>'仕入修正'!M23</f>
        <v>0</v>
      </c>
      <c r="H35" s="450">
        <f t="shared" si="0"/>
        <v>0</v>
      </c>
      <c r="I35" s="449">
        <f>'仕入修正'!O27</f>
        <v>0</v>
      </c>
      <c r="J35" s="449">
        <f>'仕入修正'!P27</f>
        <v>0</v>
      </c>
      <c r="K35" s="157"/>
      <c r="L35" s="157"/>
      <c r="M35" s="157"/>
      <c r="N35" s="157"/>
      <c r="O35" s="157"/>
      <c r="P35" s="157"/>
      <c r="S35"/>
    </row>
    <row r="36" spans="1:19" ht="15">
      <c r="A36" s="157"/>
      <c r="B36" s="584"/>
      <c r="C36" s="162" t="str">
        <f>'仕入修正'!K24</f>
        <v>***</v>
      </c>
      <c r="D36" s="163"/>
      <c r="E36" s="164">
        <v>31</v>
      </c>
      <c r="F36" s="450">
        <f>'仕入修正'!L24</f>
        <v>0</v>
      </c>
      <c r="G36" s="450">
        <f>'仕入修正'!M24</f>
        <v>0</v>
      </c>
      <c r="H36" s="450">
        <f t="shared" si="0"/>
        <v>0</v>
      </c>
      <c r="I36" s="449">
        <f>'仕入修正'!O28</f>
        <v>0</v>
      </c>
      <c r="J36" s="449">
        <f>'仕入修正'!P28</f>
        <v>0</v>
      </c>
      <c r="K36" s="157"/>
      <c r="L36" s="157"/>
      <c r="M36" s="157"/>
      <c r="N36" s="157"/>
      <c r="O36" s="157"/>
      <c r="P36" s="157"/>
      <c r="S36"/>
    </row>
    <row r="37" spans="1:19" ht="15">
      <c r="A37" s="157"/>
      <c r="B37" s="584"/>
      <c r="C37" s="162" t="str">
        <f>'仕入修正'!K25</f>
        <v>***</v>
      </c>
      <c r="D37" s="163"/>
      <c r="E37" s="164">
        <v>32</v>
      </c>
      <c r="F37" s="450">
        <f>'仕入修正'!L25</f>
        <v>0</v>
      </c>
      <c r="G37" s="450">
        <f>'仕入修正'!M25</f>
        <v>0</v>
      </c>
      <c r="H37" s="450">
        <f t="shared" si="0"/>
        <v>0</v>
      </c>
      <c r="I37" s="449">
        <f>'仕入修正'!O29</f>
        <v>0</v>
      </c>
      <c r="J37" s="449">
        <f>'仕入修正'!P29</f>
        <v>0</v>
      </c>
      <c r="K37" s="157"/>
      <c r="L37" s="157"/>
      <c r="M37" s="157"/>
      <c r="N37" s="157"/>
      <c r="O37" s="157"/>
      <c r="P37" s="157"/>
      <c r="S37"/>
    </row>
    <row r="38" spans="1:19" ht="15">
      <c r="A38" s="157"/>
      <c r="B38" s="584"/>
      <c r="C38" s="162" t="str">
        <f>'仕入修正'!K26</f>
        <v>***</v>
      </c>
      <c r="D38" s="163"/>
      <c r="E38" s="164">
        <v>33</v>
      </c>
      <c r="F38" s="450">
        <f>'仕入修正'!L26</f>
        <v>0</v>
      </c>
      <c r="G38" s="450">
        <f>'仕入修正'!M26</f>
        <v>0</v>
      </c>
      <c r="H38" s="450">
        <f t="shared" si="0"/>
        <v>0</v>
      </c>
      <c r="I38" s="449">
        <f>'仕入修正'!O30</f>
        <v>0</v>
      </c>
      <c r="J38" s="449">
        <f>'仕入修正'!P30</f>
        <v>0</v>
      </c>
      <c r="K38" s="157"/>
      <c r="L38" s="157"/>
      <c r="M38" s="157"/>
      <c r="N38" s="157"/>
      <c r="O38" s="157"/>
      <c r="P38" s="157"/>
      <c r="S38"/>
    </row>
    <row r="39" spans="1:19" ht="15">
      <c r="A39" s="157"/>
      <c r="B39" s="584"/>
      <c r="C39" s="586" t="str">
        <f>'仕入修正'!K31</f>
        <v>購買利用高配当</v>
      </c>
      <c r="D39" s="587"/>
      <c r="E39" s="419"/>
      <c r="F39" s="450">
        <f>'仕入修正'!L31</f>
        <v>0</v>
      </c>
      <c r="G39" s="450"/>
      <c r="H39" s="450">
        <f>F39</f>
        <v>0</v>
      </c>
      <c r="I39" s="449">
        <f>'仕入修正'!O31</f>
        <v>0</v>
      </c>
      <c r="J39" s="449">
        <f>'仕入修正'!P31</f>
        <v>0</v>
      </c>
      <c r="K39" s="157"/>
      <c r="L39" s="157"/>
      <c r="M39" s="157"/>
      <c r="N39" s="157"/>
      <c r="O39" s="157"/>
      <c r="P39" s="157"/>
      <c r="S39"/>
    </row>
    <row r="40" spans="1:19" ht="15">
      <c r="A40" s="157"/>
      <c r="B40" s="584"/>
      <c r="C40" s="586" t="str">
        <f>'仕入修正'!K32</f>
        <v>出荷奨励金、販売奨励金</v>
      </c>
      <c r="D40" s="587"/>
      <c r="E40" s="419"/>
      <c r="F40" s="450">
        <f>'仕入修正'!L32</f>
        <v>0</v>
      </c>
      <c r="G40" s="450"/>
      <c r="H40" s="450">
        <f>F40</f>
        <v>0</v>
      </c>
      <c r="I40" s="449">
        <f>'仕入修正'!O32</f>
        <v>0</v>
      </c>
      <c r="J40" s="449">
        <f>'仕入修正'!P32</f>
        <v>0</v>
      </c>
      <c r="K40" s="157"/>
      <c r="L40" s="157"/>
      <c r="M40" s="157"/>
      <c r="N40" s="157"/>
      <c r="O40" s="157"/>
      <c r="P40" s="157"/>
      <c r="S40"/>
    </row>
    <row r="41" spans="1:19" ht="15">
      <c r="A41" s="157"/>
      <c r="B41" s="584"/>
      <c r="C41" s="601" t="s">
        <v>124</v>
      </c>
      <c r="D41" s="602"/>
      <c r="E41" s="419">
        <v>34</v>
      </c>
      <c r="F41" s="450">
        <f>SUM(F13:F40)</f>
        <v>0</v>
      </c>
      <c r="G41" s="450">
        <f>SUM(G13:G40)</f>
        <v>0</v>
      </c>
      <c r="H41" s="450">
        <f>SUM(H13:H40)</f>
        <v>0</v>
      </c>
      <c r="I41" s="450">
        <f>SUM(I13:I40)</f>
        <v>0</v>
      </c>
      <c r="J41" s="450">
        <f>SUM(J13:J40)</f>
        <v>0</v>
      </c>
      <c r="K41" s="157"/>
      <c r="L41" s="157"/>
      <c r="M41" s="157"/>
      <c r="N41" s="157"/>
      <c r="O41" s="157"/>
      <c r="P41" s="157"/>
      <c r="S41"/>
    </row>
    <row r="42" spans="1:19" ht="15">
      <c r="A42" s="157"/>
      <c r="B42" s="584"/>
      <c r="C42" s="590" t="s">
        <v>133</v>
      </c>
      <c r="D42" s="415" t="s">
        <v>126</v>
      </c>
      <c r="E42" s="419">
        <v>35</v>
      </c>
      <c r="F42" s="452">
        <f>'仕入修正'!V15</f>
        <v>0</v>
      </c>
      <c r="G42" s="451"/>
      <c r="H42" s="451"/>
      <c r="I42" s="451"/>
      <c r="J42" s="451"/>
      <c r="K42" s="157"/>
      <c r="L42" s="157"/>
      <c r="M42" s="157"/>
      <c r="N42" s="157"/>
      <c r="O42" s="157"/>
      <c r="P42" s="157"/>
      <c r="S42"/>
    </row>
    <row r="43" spans="1:19" ht="15">
      <c r="A43" s="157"/>
      <c r="B43" s="584"/>
      <c r="C43" s="591"/>
      <c r="D43" s="415" t="s">
        <v>127</v>
      </c>
      <c r="E43" s="419">
        <v>36</v>
      </c>
      <c r="F43" s="453">
        <f>'仕入修正'!V22</f>
        <v>0</v>
      </c>
      <c r="G43" s="451"/>
      <c r="H43" s="451"/>
      <c r="I43" s="451"/>
      <c r="J43" s="451"/>
      <c r="K43" s="157"/>
      <c r="L43" s="157"/>
      <c r="M43" s="157"/>
      <c r="N43" s="157"/>
      <c r="O43" s="157"/>
      <c r="P43" s="157"/>
      <c r="S43"/>
    </row>
    <row r="44" spans="1:19" ht="15">
      <c r="A44" s="157"/>
      <c r="B44" s="584"/>
      <c r="C44" s="586" t="s">
        <v>134</v>
      </c>
      <c r="D44" s="587"/>
      <c r="E44" s="419">
        <v>37</v>
      </c>
      <c r="F44" s="452">
        <f>'[2]損益計算書'!$H$37+'[2]損益計算書'!$H$38</f>
        <v>0</v>
      </c>
      <c r="G44" s="451"/>
      <c r="H44" s="451"/>
      <c r="I44" s="451"/>
      <c r="J44" s="451"/>
      <c r="K44" s="157"/>
      <c r="L44" s="157"/>
      <c r="M44" s="157"/>
      <c r="N44" s="157"/>
      <c r="O44" s="157"/>
      <c r="P44" s="157"/>
      <c r="S44"/>
    </row>
    <row r="45" spans="1:19" ht="15">
      <c r="A45" s="157"/>
      <c r="B45" s="585"/>
      <c r="C45" s="599" t="s">
        <v>128</v>
      </c>
      <c r="D45" s="600"/>
      <c r="E45" s="419">
        <v>38</v>
      </c>
      <c r="F45" s="450">
        <f>'取引計算表'!F41+'取引計算表'!F42-'取引計算表'!F43-'取引計算表'!F44</f>
        <v>0</v>
      </c>
      <c r="G45" s="451"/>
      <c r="H45" s="451"/>
      <c r="I45" s="451"/>
      <c r="J45" s="451"/>
      <c r="K45" s="157"/>
      <c r="L45" s="157"/>
      <c r="M45" s="157"/>
      <c r="N45" s="157"/>
      <c r="O45" s="157"/>
      <c r="P45" s="157"/>
      <c r="S45"/>
    </row>
    <row r="46" spans="1:19" ht="15">
      <c r="A46" s="157"/>
      <c r="B46" s="581" t="s">
        <v>135</v>
      </c>
      <c r="C46" s="582"/>
      <c r="D46" s="417"/>
      <c r="E46" s="419">
        <v>39</v>
      </c>
      <c r="F46" s="450">
        <f>'取引計算表'!F12-'取引計算表'!F45</f>
        <v>0</v>
      </c>
      <c r="G46" s="451"/>
      <c r="H46" s="451"/>
      <c r="I46" s="451"/>
      <c r="J46" s="451"/>
      <c r="K46" s="157"/>
      <c r="L46" s="157"/>
      <c r="M46" s="157"/>
      <c r="N46" s="157"/>
      <c r="O46" s="157"/>
      <c r="P46" s="157"/>
      <c r="S46"/>
    </row>
    <row r="47" spans="1:19" ht="15">
      <c r="A47" s="157"/>
      <c r="B47" s="169"/>
      <c r="C47" s="156"/>
      <c r="D47" s="1"/>
      <c r="E47" s="2"/>
      <c r="F47" s="1"/>
      <c r="G47" s="1"/>
      <c r="H47" s="1"/>
      <c r="I47" s="3"/>
      <c r="J47" s="157"/>
      <c r="K47" s="157"/>
      <c r="L47" s="157"/>
      <c r="M47" s="157"/>
      <c r="N47" s="157"/>
      <c r="O47" s="157"/>
      <c r="P47" s="157"/>
      <c r="S47"/>
    </row>
    <row r="48" spans="2:19" ht="15">
      <c r="B48" s="159"/>
      <c r="C48" s="170"/>
      <c r="D48" s="171"/>
      <c r="E48" s="172"/>
      <c r="F48" s="316"/>
      <c r="G48" s="171"/>
      <c r="H48" s="171"/>
      <c r="I48" s="171"/>
      <c r="S48"/>
    </row>
    <row r="49" ht="15">
      <c r="S49"/>
    </row>
    <row r="50" ht="15">
      <c r="S50"/>
    </row>
    <row r="51" ht="15">
      <c r="S51"/>
    </row>
    <row r="52" ht="15">
      <c r="S52"/>
    </row>
    <row r="53" ht="15">
      <c r="S53"/>
    </row>
  </sheetData>
  <sheetProtection/>
  <mergeCells count="36">
    <mergeCell ref="H2:H3"/>
    <mergeCell ref="P30:P31"/>
    <mergeCell ref="L26:L32"/>
    <mergeCell ref="M26:M32"/>
    <mergeCell ref="N26:N29"/>
    <mergeCell ref="O28:O29"/>
    <mergeCell ref="N30:N31"/>
    <mergeCell ref="O30:O31"/>
    <mergeCell ref="P28:P29"/>
    <mergeCell ref="L13:P18"/>
    <mergeCell ref="Q13:Q18"/>
    <mergeCell ref="P23:P24"/>
    <mergeCell ref="P21:P22"/>
    <mergeCell ref="C7:D7"/>
    <mergeCell ref="C9:D9"/>
    <mergeCell ref="L19:L25"/>
    <mergeCell ref="M19:M25"/>
    <mergeCell ref="N19:N22"/>
    <mergeCell ref="O21:O22"/>
    <mergeCell ref="N23:N24"/>
    <mergeCell ref="O23:O24"/>
    <mergeCell ref="B3:E3"/>
    <mergeCell ref="B4:B12"/>
    <mergeCell ref="E5:E6"/>
    <mergeCell ref="C45:D45"/>
    <mergeCell ref="C39:D39"/>
    <mergeCell ref="C40:D40"/>
    <mergeCell ref="C41:D41"/>
    <mergeCell ref="C5:D5"/>
    <mergeCell ref="C4:D4"/>
    <mergeCell ref="C6:D6"/>
    <mergeCell ref="B46:C46"/>
    <mergeCell ref="B13:B45"/>
    <mergeCell ref="C44:D44"/>
    <mergeCell ref="C10:C11"/>
    <mergeCell ref="C42:C43"/>
  </mergeCells>
  <printOptions/>
  <pageMargins left="0.62" right="0.41" top="0.98" bottom="0.58" header="0.512" footer="0.512"/>
  <pageSetup orientation="portrait" paperSize="9" scale="65" r:id="rId2"/>
  <drawing r:id="rId1"/>
</worksheet>
</file>

<file path=xl/worksheets/sheet5.xml><?xml version="1.0" encoding="utf-8"?>
<worksheet xmlns="http://schemas.openxmlformats.org/spreadsheetml/2006/main" xmlns:r="http://schemas.openxmlformats.org/officeDocument/2006/relationships">
  <sheetPr codeName="Sheet32">
    <tabColor indexed="50"/>
  </sheetPr>
  <dimension ref="A1:AA55"/>
  <sheetViews>
    <sheetView zoomScale="75" zoomScaleNormal="75" zoomScalePageLayoutView="0" workbookViewId="0" topLeftCell="A1">
      <selection activeCell="E21" sqref="E21:G21"/>
    </sheetView>
  </sheetViews>
  <sheetFormatPr defaultColWidth="10.00390625" defaultRowHeight="13.5"/>
  <cols>
    <col min="1" max="1" width="3.625" style="4" customWidth="1"/>
    <col min="2" max="2" width="6.875" style="4" customWidth="1"/>
    <col min="3" max="3" width="34.50390625" style="4" customWidth="1"/>
    <col min="4" max="4" width="4.75390625" style="4" customWidth="1"/>
    <col min="5" max="5" width="16.125" style="4" customWidth="1"/>
    <col min="6" max="6" width="19.125" style="4" bestFit="1" customWidth="1"/>
    <col min="7" max="7" width="20.625" style="4" bestFit="1" customWidth="1"/>
    <col min="8" max="8" width="3.625" style="4" customWidth="1"/>
    <col min="9" max="9" width="6.875" style="4" customWidth="1"/>
    <col min="10" max="10" width="38.50390625" style="4" customWidth="1"/>
    <col min="11" max="11" width="4.75390625" style="4" customWidth="1"/>
    <col min="12" max="12" width="16.125" style="4" customWidth="1"/>
    <col min="13" max="13" width="19.125" style="4" bestFit="1" customWidth="1"/>
    <col min="14" max="14" width="20.625" style="4" bestFit="1" customWidth="1"/>
    <col min="15" max="16384" width="10.00390625" style="4" customWidth="1"/>
  </cols>
  <sheetData>
    <row r="1" spans="1:13" ht="24.75" customHeight="1">
      <c r="A1" s="157"/>
      <c r="B1" s="155"/>
      <c r="C1" s="157"/>
      <c r="D1" s="157"/>
      <c r="E1" s="173"/>
      <c r="F1" s="173"/>
      <c r="G1" s="173"/>
      <c r="H1" s="157"/>
      <c r="I1" s="155"/>
      <c r="J1" s="157"/>
      <c r="K1" s="157"/>
      <c r="L1" s="173"/>
      <c r="M1" s="157"/>
    </row>
    <row r="2" spans="1:13" ht="15" hidden="1">
      <c r="A2" s="157"/>
      <c r="B2" s="155"/>
      <c r="C2" s="157"/>
      <c r="D2" s="157"/>
      <c r="E2" s="173"/>
      <c r="F2" s="173"/>
      <c r="G2" s="173"/>
      <c r="H2" s="157"/>
      <c r="I2" s="155"/>
      <c r="J2" s="157"/>
      <c r="K2" s="157"/>
      <c r="L2" s="173"/>
      <c r="M2" s="157"/>
    </row>
    <row r="3" spans="1:13" ht="15" hidden="1">
      <c r="A3" s="157"/>
      <c r="B3" s="155"/>
      <c r="C3" s="157"/>
      <c r="D3" s="157"/>
      <c r="E3" s="173"/>
      <c r="F3" s="173"/>
      <c r="G3" s="173"/>
      <c r="H3" s="157"/>
      <c r="I3" s="155"/>
      <c r="J3" s="157"/>
      <c r="K3" s="157"/>
      <c r="L3" s="173"/>
      <c r="M3" s="157"/>
    </row>
    <row r="4" spans="1:14" ht="23.25">
      <c r="A4" s="157"/>
      <c r="B4" s="155"/>
      <c r="C4" s="174" t="s">
        <v>136</v>
      </c>
      <c r="D4" s="623" t="s">
        <v>77</v>
      </c>
      <c r="E4" s="594"/>
      <c r="F4" s="392"/>
      <c r="G4" s="391"/>
      <c r="H4" s="175"/>
      <c r="I4" s="176"/>
      <c r="J4" s="174" t="s">
        <v>137</v>
      </c>
      <c r="K4" s="623" t="s">
        <v>77</v>
      </c>
      <c r="L4" s="594"/>
      <c r="M4" s="392"/>
      <c r="N4" s="391"/>
    </row>
    <row r="5" spans="1:27" ht="43.5" customHeight="1">
      <c r="A5" s="157"/>
      <c r="B5" s="594" t="s">
        <v>138</v>
      </c>
      <c r="C5" s="624"/>
      <c r="D5" s="623"/>
      <c r="E5" s="623"/>
      <c r="F5" s="393" t="s">
        <v>542</v>
      </c>
      <c r="G5" s="393" t="s">
        <v>543</v>
      </c>
      <c r="H5" s="157"/>
      <c r="I5" s="594" t="s">
        <v>138</v>
      </c>
      <c r="J5" s="617"/>
      <c r="K5" s="623"/>
      <c r="L5" s="623"/>
      <c r="M5" s="393" t="s">
        <v>542</v>
      </c>
      <c r="N5" s="393" t="s">
        <v>543</v>
      </c>
      <c r="AA5" s="348"/>
    </row>
    <row r="6" spans="1:27" ht="33" customHeight="1">
      <c r="A6" s="157"/>
      <c r="B6" s="618" t="s">
        <v>139</v>
      </c>
      <c r="C6" s="177" t="s">
        <v>140</v>
      </c>
      <c r="D6" s="390">
        <v>1</v>
      </c>
      <c r="E6" s="180">
        <f>'売上修正'!M13</f>
        <v>0</v>
      </c>
      <c r="F6" s="59"/>
      <c r="G6" s="59"/>
      <c r="H6" s="157"/>
      <c r="I6" s="618" t="s">
        <v>141</v>
      </c>
      <c r="J6" s="177" t="s">
        <v>142</v>
      </c>
      <c r="K6" s="178">
        <v>1</v>
      </c>
      <c r="L6" s="366">
        <f>'仕入修正'!L33</f>
        <v>0</v>
      </c>
      <c r="M6" s="59"/>
      <c r="N6" s="59"/>
      <c r="AA6"/>
    </row>
    <row r="7" spans="1:27" ht="33" customHeight="1">
      <c r="A7" s="157"/>
      <c r="B7" s="621"/>
      <c r="C7" s="177" t="s">
        <v>143</v>
      </c>
      <c r="D7" s="178">
        <v>2</v>
      </c>
      <c r="E7" s="60">
        <f>'売上修正'!N13+'売上修正'!O13</f>
        <v>0</v>
      </c>
      <c r="F7" s="59"/>
      <c r="G7" s="59"/>
      <c r="H7" s="157"/>
      <c r="I7" s="619"/>
      <c r="J7" s="177" t="s">
        <v>144</v>
      </c>
      <c r="K7" s="178">
        <v>2</v>
      </c>
      <c r="L7" s="366">
        <f>'仕入修正'!M33</f>
        <v>0</v>
      </c>
      <c r="M7" s="59"/>
      <c r="N7" s="59"/>
      <c r="AA7"/>
    </row>
    <row r="8" spans="1:27" ht="33" customHeight="1">
      <c r="A8" s="157"/>
      <c r="B8" s="622"/>
      <c r="C8" s="177" t="s">
        <v>145</v>
      </c>
      <c r="D8" s="178">
        <v>3</v>
      </c>
      <c r="E8" s="60">
        <f>E6-E7</f>
        <v>0</v>
      </c>
      <c r="F8" s="60">
        <f>'売上修正'!Q13</f>
        <v>0</v>
      </c>
      <c r="G8" s="60">
        <f>'売上修正'!R13</f>
        <v>0</v>
      </c>
      <c r="H8" s="157"/>
      <c r="I8" s="620"/>
      <c r="J8" s="177" t="s">
        <v>146</v>
      </c>
      <c r="K8" s="178">
        <v>3</v>
      </c>
      <c r="L8" s="366">
        <f>L6-L7</f>
        <v>0</v>
      </c>
      <c r="M8" s="178">
        <f>'仕入修正'!O33</f>
        <v>0</v>
      </c>
      <c r="N8" s="178">
        <f>'仕入修正'!P33</f>
        <v>0</v>
      </c>
      <c r="AA8"/>
    </row>
    <row r="9" spans="1:27" ht="33" customHeight="1">
      <c r="A9" s="157"/>
      <c r="B9" s="618" t="s">
        <v>147</v>
      </c>
      <c r="C9" s="177" t="s">
        <v>148</v>
      </c>
      <c r="D9" s="178">
        <v>4</v>
      </c>
      <c r="E9" s="60"/>
      <c r="F9" s="59"/>
      <c r="G9" s="59"/>
      <c r="H9" s="157"/>
      <c r="I9" s="618" t="s">
        <v>149</v>
      </c>
      <c r="J9" s="177" t="s">
        <v>150</v>
      </c>
      <c r="K9" s="179">
        <v>4</v>
      </c>
      <c r="L9" s="396"/>
      <c r="M9" s="59"/>
      <c r="N9" s="59"/>
      <c r="AA9"/>
    </row>
    <row r="10" spans="1:27" ht="33" customHeight="1">
      <c r="A10" s="157"/>
      <c r="B10" s="621"/>
      <c r="C10" s="177" t="s">
        <v>151</v>
      </c>
      <c r="D10" s="178">
        <v>5</v>
      </c>
      <c r="E10" s="60"/>
      <c r="F10" s="59"/>
      <c r="G10" s="59"/>
      <c r="H10" s="157"/>
      <c r="I10" s="619"/>
      <c r="J10" s="177" t="s">
        <v>152</v>
      </c>
      <c r="K10" s="179">
        <v>5</v>
      </c>
      <c r="L10" s="396"/>
      <c r="M10" s="59"/>
      <c r="N10" s="59"/>
      <c r="AA10"/>
    </row>
    <row r="11" spans="1:27" ht="33" customHeight="1">
      <c r="A11" s="157"/>
      <c r="B11" s="622"/>
      <c r="C11" s="177" t="s">
        <v>145</v>
      </c>
      <c r="D11" s="178">
        <v>6</v>
      </c>
      <c r="E11" s="60"/>
      <c r="F11" s="60"/>
      <c r="G11" s="60"/>
      <c r="H11" s="157"/>
      <c r="I11" s="620"/>
      <c r="J11" s="177" t="s">
        <v>146</v>
      </c>
      <c r="K11" s="179">
        <v>6</v>
      </c>
      <c r="L11" s="366"/>
      <c r="M11" s="178"/>
      <c r="N11" s="399"/>
      <c r="AA11"/>
    </row>
    <row r="12" spans="1:27" ht="33" customHeight="1">
      <c r="A12" s="157"/>
      <c r="B12" s="618" t="s">
        <v>153</v>
      </c>
      <c r="C12" s="177" t="s">
        <v>148</v>
      </c>
      <c r="D12" s="178">
        <v>7</v>
      </c>
      <c r="E12" s="60"/>
      <c r="F12" s="59"/>
      <c r="G12" s="59"/>
      <c r="H12" s="157"/>
      <c r="I12" s="618" t="s">
        <v>154</v>
      </c>
      <c r="J12" s="177" t="s">
        <v>142</v>
      </c>
      <c r="K12" s="178">
        <v>7</v>
      </c>
      <c r="L12" s="397"/>
      <c r="M12" s="59"/>
      <c r="N12" s="59"/>
      <c r="AA12"/>
    </row>
    <row r="13" spans="1:27" ht="33" customHeight="1">
      <c r="A13" s="157"/>
      <c r="B13" s="619"/>
      <c r="C13" s="177" t="s">
        <v>155</v>
      </c>
      <c r="D13" s="178">
        <v>8</v>
      </c>
      <c r="E13" s="60"/>
      <c r="F13" s="59"/>
      <c r="G13" s="59"/>
      <c r="H13" s="157"/>
      <c r="I13" s="619"/>
      <c r="J13" s="177" t="s">
        <v>156</v>
      </c>
      <c r="K13" s="178">
        <v>8</v>
      </c>
      <c r="L13" s="366"/>
      <c r="M13" s="59"/>
      <c r="N13" s="59"/>
      <c r="AA13"/>
    </row>
    <row r="14" spans="1:27" ht="33" customHeight="1">
      <c r="A14" s="157"/>
      <c r="B14" s="620"/>
      <c r="C14" s="177" t="s">
        <v>145</v>
      </c>
      <c r="D14" s="178">
        <v>9</v>
      </c>
      <c r="E14" s="60"/>
      <c r="F14" s="60"/>
      <c r="G14" s="60"/>
      <c r="H14" s="157"/>
      <c r="I14" s="620"/>
      <c r="J14" s="177" t="s">
        <v>146</v>
      </c>
      <c r="K14" s="178">
        <v>9</v>
      </c>
      <c r="L14" s="366"/>
      <c r="M14" s="178"/>
      <c r="N14" s="399"/>
      <c r="AA14"/>
    </row>
    <row r="15" spans="1:27" ht="33" customHeight="1">
      <c r="A15" s="157"/>
      <c r="B15" s="618" t="s">
        <v>157</v>
      </c>
      <c r="C15" s="177" t="s">
        <v>158</v>
      </c>
      <c r="D15" s="178">
        <v>10</v>
      </c>
      <c r="E15" s="60">
        <f>'売上修正'!M20</f>
        <v>0</v>
      </c>
      <c r="F15" s="59"/>
      <c r="G15" s="59"/>
      <c r="H15" s="157"/>
      <c r="I15" s="618" t="s">
        <v>159</v>
      </c>
      <c r="J15" s="177" t="s">
        <v>160</v>
      </c>
      <c r="K15" s="178">
        <v>10</v>
      </c>
      <c r="L15" s="366">
        <f>'仕入修正'!L41</f>
        <v>0</v>
      </c>
      <c r="M15" s="59"/>
      <c r="N15" s="59"/>
      <c r="AA15"/>
    </row>
    <row r="16" spans="1:27" ht="33" customHeight="1">
      <c r="A16" s="157"/>
      <c r="B16" s="619"/>
      <c r="C16" s="177" t="s">
        <v>161</v>
      </c>
      <c r="D16" s="178">
        <v>11</v>
      </c>
      <c r="E16" s="60">
        <f>'売上修正'!N20+'売上修正'!O20</f>
        <v>0</v>
      </c>
      <c r="F16" s="59"/>
      <c r="G16" s="59"/>
      <c r="H16" s="157"/>
      <c r="I16" s="619"/>
      <c r="J16" s="177" t="s">
        <v>162</v>
      </c>
      <c r="K16" s="178">
        <v>11</v>
      </c>
      <c r="L16" s="366">
        <f>'仕入修正'!M41</f>
        <v>0</v>
      </c>
      <c r="M16" s="59"/>
      <c r="N16" s="59"/>
      <c r="AA16"/>
    </row>
    <row r="17" spans="1:27" ht="33" customHeight="1">
      <c r="A17" s="157"/>
      <c r="B17" s="620"/>
      <c r="C17" s="177" t="s">
        <v>145</v>
      </c>
      <c r="D17" s="178">
        <v>12</v>
      </c>
      <c r="E17" s="60">
        <f>E15-E16</f>
        <v>0</v>
      </c>
      <c r="F17" s="60">
        <f>'売上修正'!Q20</f>
        <v>0</v>
      </c>
      <c r="G17" s="60">
        <f>'売上修正'!R20</f>
        <v>0</v>
      </c>
      <c r="H17" s="157"/>
      <c r="I17" s="620"/>
      <c r="J17" s="177" t="s">
        <v>146</v>
      </c>
      <c r="K17" s="178">
        <v>12</v>
      </c>
      <c r="L17" s="366">
        <f>L15-L16</f>
        <v>0</v>
      </c>
      <c r="M17" s="400">
        <f>'仕入修正'!O41</f>
        <v>0</v>
      </c>
      <c r="N17" s="400">
        <f>'仕入修正'!P41</f>
        <v>0</v>
      </c>
      <c r="AA17"/>
    </row>
    <row r="18" spans="1:27" ht="33" customHeight="1">
      <c r="A18" s="157"/>
      <c r="B18" s="594" t="s">
        <v>163</v>
      </c>
      <c r="C18" s="596"/>
      <c r="D18" s="181">
        <v>13</v>
      </c>
      <c r="E18" s="161">
        <f>E8+E11+E14+E17</f>
        <v>0</v>
      </c>
      <c r="F18" s="161">
        <f>F8+F11+F14+F17</f>
        <v>0</v>
      </c>
      <c r="G18" s="161">
        <f>G8+G11+G14+G17</f>
        <v>0</v>
      </c>
      <c r="H18" s="157"/>
      <c r="I18" s="594" t="s">
        <v>164</v>
      </c>
      <c r="J18" s="596"/>
      <c r="K18" s="178">
        <v>13</v>
      </c>
      <c r="L18" s="366">
        <f>L8+L11+L14+L17</f>
        <v>0</v>
      </c>
      <c r="M18" s="366">
        <f>M8+M11+M14+M17</f>
        <v>0</v>
      </c>
      <c r="N18" s="366">
        <f>N8+N11+N14+N17</f>
        <v>0</v>
      </c>
      <c r="AA18"/>
    </row>
    <row r="19" spans="1:27" ht="102.75" customHeight="1">
      <c r="A19" s="157"/>
      <c r="B19" s="616" t="s">
        <v>165</v>
      </c>
      <c r="C19" s="60" t="str">
        <f>F18&amp;" 　円  ×　１００／１０５"</f>
        <v>0 　円  ×　１００／１０５</v>
      </c>
      <c r="D19" s="394">
        <v>14</v>
      </c>
      <c r="E19" s="615">
        <f>INT(F18*(100/105))</f>
        <v>0</v>
      </c>
      <c r="F19" s="615"/>
      <c r="G19" s="615"/>
      <c r="H19" s="157"/>
      <c r="I19" s="616" t="s">
        <v>165</v>
      </c>
      <c r="J19" s="60" t="str">
        <f>M18&amp;" 　円  ×　４／１０５"</f>
        <v>0 　円  ×　４／１０５</v>
      </c>
      <c r="K19" s="398">
        <v>14</v>
      </c>
      <c r="L19" s="615">
        <f>INT(M18*(4/105))</f>
        <v>0</v>
      </c>
      <c r="M19" s="615"/>
      <c r="N19" s="615"/>
      <c r="AA19"/>
    </row>
    <row r="20" spans="1:27" ht="102.75" customHeight="1">
      <c r="A20" s="157"/>
      <c r="B20" s="616"/>
      <c r="C20" s="395" t="str">
        <f>G18&amp;" 　円  ×　１００／１０８ "</f>
        <v>0 　円  ×　１００／１０８ </v>
      </c>
      <c r="D20" s="395">
        <v>15</v>
      </c>
      <c r="E20" s="615">
        <f>INT(G18*(100/108))</f>
        <v>0</v>
      </c>
      <c r="F20" s="615"/>
      <c r="G20" s="615"/>
      <c r="H20" s="157"/>
      <c r="I20" s="616"/>
      <c r="J20" s="395" t="str">
        <f>N18&amp;" 　円  ×　６．３／１０８ "</f>
        <v>0 　円  ×　６．３／１０８ </v>
      </c>
      <c r="K20" s="178">
        <v>15</v>
      </c>
      <c r="L20" s="615">
        <f>INT(N18*(6.3/108))</f>
        <v>0</v>
      </c>
      <c r="M20" s="615"/>
      <c r="N20" s="615"/>
      <c r="AA20"/>
    </row>
    <row r="21" spans="1:27" ht="102.75" customHeight="1">
      <c r="A21" s="157"/>
      <c r="B21" s="616"/>
      <c r="C21" s="211" t="s">
        <v>547</v>
      </c>
      <c r="D21" s="395">
        <v>16</v>
      </c>
      <c r="E21" s="615">
        <f>E19+E20</f>
        <v>0</v>
      </c>
      <c r="F21" s="615"/>
      <c r="G21" s="615"/>
      <c r="H21" s="157"/>
      <c r="I21" s="616"/>
      <c r="J21" s="211" t="s">
        <v>547</v>
      </c>
      <c r="K21" s="178">
        <v>16</v>
      </c>
      <c r="L21" s="615">
        <f>L19+L20</f>
        <v>0</v>
      </c>
      <c r="M21" s="615"/>
      <c r="N21" s="615"/>
      <c r="AA21"/>
    </row>
    <row r="22" spans="2:27" ht="15">
      <c r="B22" s="159"/>
      <c r="E22" s="183"/>
      <c r="F22" s="183"/>
      <c r="G22" s="183"/>
      <c r="I22" s="159"/>
      <c r="L22" s="183"/>
      <c r="AA22"/>
    </row>
    <row r="23" ht="15">
      <c r="AA23"/>
    </row>
    <row r="24" ht="15">
      <c r="AA24"/>
    </row>
    <row r="25" ht="15">
      <c r="AA25"/>
    </row>
    <row r="26" ht="15">
      <c r="AA26"/>
    </row>
    <row r="27" ht="15">
      <c r="AA27"/>
    </row>
    <row r="28" ht="15">
      <c r="AA28"/>
    </row>
    <row r="29" ht="15">
      <c r="AA29"/>
    </row>
    <row r="30" ht="15">
      <c r="AA30"/>
    </row>
    <row r="31" ht="15">
      <c r="AA31"/>
    </row>
    <row r="32" ht="15">
      <c r="AA32"/>
    </row>
    <row r="33" ht="15">
      <c r="AA33"/>
    </row>
    <row r="34" ht="15">
      <c r="AA34"/>
    </row>
    <row r="35" ht="15">
      <c r="AA35"/>
    </row>
    <row r="36" ht="15">
      <c r="AA36"/>
    </row>
    <row r="37" ht="15">
      <c r="AA37"/>
    </row>
    <row r="38" ht="15">
      <c r="AA38"/>
    </row>
    <row r="39" ht="15">
      <c r="AA39"/>
    </row>
    <row r="40" ht="15">
      <c r="AA40"/>
    </row>
    <row r="41" ht="15">
      <c r="AA41"/>
    </row>
    <row r="42" ht="15">
      <c r="AA42"/>
    </row>
    <row r="43" ht="15">
      <c r="AA43"/>
    </row>
    <row r="44" ht="15">
      <c r="AA44"/>
    </row>
    <row r="45" ht="15">
      <c r="AA45"/>
    </row>
    <row r="46" ht="15">
      <c r="AA46"/>
    </row>
    <row r="47" ht="15">
      <c r="AA47"/>
    </row>
    <row r="48" ht="15">
      <c r="AA48"/>
    </row>
    <row r="49" ht="15">
      <c r="AA49"/>
    </row>
    <row r="50" ht="15">
      <c r="AA50"/>
    </row>
    <row r="51" ht="15">
      <c r="AA51"/>
    </row>
    <row r="52" ht="15">
      <c r="AA52"/>
    </row>
    <row r="53" ht="15">
      <c r="AA53"/>
    </row>
    <row r="54" ht="15">
      <c r="AA54"/>
    </row>
    <row r="55" ht="15">
      <c r="AA55"/>
    </row>
  </sheetData>
  <sheetProtection/>
  <mergeCells count="22">
    <mergeCell ref="B9:B11"/>
    <mergeCell ref="I9:I11"/>
    <mergeCell ref="B12:B14"/>
    <mergeCell ref="I12:I14"/>
    <mergeCell ref="B15:B17"/>
    <mergeCell ref="B5:C5"/>
    <mergeCell ref="I5:J5"/>
    <mergeCell ref="I15:I17"/>
    <mergeCell ref="B6:B8"/>
    <mergeCell ref="I6:I8"/>
    <mergeCell ref="D4:E5"/>
    <mergeCell ref="L19:N19"/>
    <mergeCell ref="K4:L5"/>
    <mergeCell ref="B18:C18"/>
    <mergeCell ref="I18:J18"/>
    <mergeCell ref="I19:I21"/>
    <mergeCell ref="L20:N20"/>
    <mergeCell ref="L21:N21"/>
    <mergeCell ref="B19:B21"/>
    <mergeCell ref="E19:G19"/>
    <mergeCell ref="E20:G20"/>
    <mergeCell ref="E21:G21"/>
  </mergeCells>
  <printOptions/>
  <pageMargins left="0.5" right="0.5" top="0.8" bottom="0.5" header="0.512" footer="0.512"/>
  <pageSetup orientation="portrait" paperSize="9" scale="85" r:id="rId2"/>
  <drawing r:id="rId1"/>
</worksheet>
</file>

<file path=xl/worksheets/sheet6.xml><?xml version="1.0" encoding="utf-8"?>
<worksheet xmlns="http://schemas.openxmlformats.org/spreadsheetml/2006/main" xmlns:r="http://schemas.openxmlformats.org/officeDocument/2006/relationships">
  <sheetPr codeName="Sheet1">
    <tabColor rgb="FF92D050"/>
  </sheetPr>
  <dimension ref="B3:L90"/>
  <sheetViews>
    <sheetView zoomScale="84" zoomScaleNormal="84" zoomScalePageLayoutView="0" workbookViewId="0" topLeftCell="A1">
      <selection activeCell="K27" sqref="K27:L27"/>
    </sheetView>
  </sheetViews>
  <sheetFormatPr defaultColWidth="9.00390625" defaultRowHeight="13.5"/>
  <cols>
    <col min="1" max="1" width="3.625" style="324" customWidth="1"/>
    <col min="2" max="2" width="4.50390625" style="324" customWidth="1"/>
    <col min="3" max="3" width="18.00390625" style="324" customWidth="1"/>
    <col min="4" max="4" width="3.625" style="324" customWidth="1"/>
    <col min="5" max="12" width="10.75390625" style="324" customWidth="1"/>
    <col min="13" max="16384" width="9.00390625" style="324" customWidth="1"/>
  </cols>
  <sheetData>
    <row r="1" ht="30.75" customHeight="1"/>
    <row r="3" spans="2:12" ht="13.5" customHeight="1">
      <c r="B3" s="326" t="s">
        <v>320</v>
      </c>
      <c r="I3" s="324" t="s">
        <v>245</v>
      </c>
      <c r="L3" s="640" t="s">
        <v>246</v>
      </c>
    </row>
    <row r="4" spans="3:12" ht="13.5" customHeight="1">
      <c r="C4" s="324" t="s">
        <v>247</v>
      </c>
      <c r="I4" s="324" t="s">
        <v>248</v>
      </c>
      <c r="L4" s="640"/>
    </row>
    <row r="6" spans="3:12" ht="30.75" customHeight="1">
      <c r="C6" s="641" t="s">
        <v>287</v>
      </c>
      <c r="D6" s="642"/>
      <c r="E6" s="644" t="s">
        <v>323</v>
      </c>
      <c r="F6" s="645"/>
      <c r="G6" s="646"/>
      <c r="H6" s="639" t="s">
        <v>249</v>
      </c>
      <c r="I6" s="639"/>
      <c r="J6" s="639"/>
      <c r="K6" s="639"/>
      <c r="L6" s="639"/>
    </row>
    <row r="7" spans="2:12" ht="30" customHeight="1">
      <c r="B7" s="639" t="s">
        <v>233</v>
      </c>
      <c r="C7" s="637"/>
      <c r="D7" s="637"/>
      <c r="E7" s="638" t="s">
        <v>324</v>
      </c>
      <c r="F7" s="639"/>
      <c r="G7" s="638" t="s">
        <v>325</v>
      </c>
      <c r="H7" s="639"/>
      <c r="I7" s="638" t="s">
        <v>326</v>
      </c>
      <c r="J7" s="639"/>
      <c r="K7" s="638" t="s">
        <v>353</v>
      </c>
      <c r="L7" s="639"/>
    </row>
    <row r="8" spans="2:12" ht="15.75" customHeight="1">
      <c r="B8" s="647" t="s">
        <v>170</v>
      </c>
      <c r="C8" s="647"/>
      <c r="D8" s="639" t="s">
        <v>289</v>
      </c>
      <c r="E8" s="643" t="s">
        <v>250</v>
      </c>
      <c r="F8" s="643"/>
      <c r="G8" s="643" t="s">
        <v>250</v>
      </c>
      <c r="H8" s="643"/>
      <c r="I8" s="643" t="s">
        <v>250</v>
      </c>
      <c r="J8" s="643"/>
      <c r="K8" s="629" t="s">
        <v>344</v>
      </c>
      <c r="L8" s="629"/>
    </row>
    <row r="9" spans="2:12" ht="31.5" customHeight="1">
      <c r="B9" s="647"/>
      <c r="C9" s="647"/>
      <c r="D9" s="639"/>
      <c r="E9" s="630"/>
      <c r="F9" s="630"/>
      <c r="G9" s="628">
        <f>INT('売上仕入計算'!E19/1000)*1000</f>
        <v>0</v>
      </c>
      <c r="H9" s="628"/>
      <c r="I9" s="648">
        <f>INT('売上仕入計算'!E20/1000)*1000</f>
        <v>0</v>
      </c>
      <c r="J9" s="649"/>
      <c r="K9" s="628">
        <f>G9+I9</f>
        <v>0</v>
      </c>
      <c r="L9" s="628"/>
    </row>
    <row r="10" spans="2:12" ht="15.75" customHeight="1">
      <c r="B10" s="647" t="s">
        <v>167</v>
      </c>
      <c r="C10" s="647"/>
      <c r="D10" s="639" t="s">
        <v>251</v>
      </c>
      <c r="E10" s="636"/>
      <c r="F10" s="636"/>
      <c r="G10" s="636"/>
      <c r="H10" s="636"/>
      <c r="I10" s="636"/>
      <c r="J10" s="636"/>
      <c r="K10" s="626" t="s">
        <v>339</v>
      </c>
      <c r="L10" s="627"/>
    </row>
    <row r="11" spans="2:12" ht="32.25" customHeight="1">
      <c r="B11" s="647"/>
      <c r="C11" s="647"/>
      <c r="D11" s="639"/>
      <c r="E11" s="637"/>
      <c r="F11" s="637"/>
      <c r="G11" s="625">
        <f>INT(G9*0.04)</f>
        <v>0</v>
      </c>
      <c r="H11" s="625"/>
      <c r="I11" s="625">
        <f>INT(I9*0.063)</f>
        <v>0</v>
      </c>
      <c r="J11" s="625"/>
      <c r="K11" s="625">
        <f>G11+I11</f>
        <v>0</v>
      </c>
      <c r="L11" s="625"/>
    </row>
    <row r="12" spans="2:12" ht="15.75" customHeight="1">
      <c r="B12" s="661" t="s">
        <v>327</v>
      </c>
      <c r="C12" s="647"/>
      <c r="D12" s="639" t="s">
        <v>252</v>
      </c>
      <c r="E12" s="632" t="s">
        <v>253</v>
      </c>
      <c r="F12" s="633"/>
      <c r="G12" s="632" t="s">
        <v>254</v>
      </c>
      <c r="H12" s="633"/>
      <c r="I12" s="632" t="s">
        <v>255</v>
      </c>
      <c r="J12" s="633"/>
      <c r="K12" s="631" t="s">
        <v>340</v>
      </c>
      <c r="L12" s="631"/>
    </row>
    <row r="13" spans="2:12" ht="30.75" customHeight="1">
      <c r="B13" s="647"/>
      <c r="C13" s="647"/>
      <c r="D13" s="639"/>
      <c r="E13" s="634"/>
      <c r="F13" s="635"/>
      <c r="G13" s="650"/>
      <c r="H13" s="651"/>
      <c r="I13" s="650"/>
      <c r="J13" s="651"/>
      <c r="K13" s="652"/>
      <c r="L13" s="652"/>
    </row>
    <row r="14" spans="2:12" ht="15.75" customHeight="1">
      <c r="B14" s="662" t="s">
        <v>175</v>
      </c>
      <c r="C14" s="661" t="s">
        <v>328</v>
      </c>
      <c r="D14" s="639" t="s">
        <v>321</v>
      </c>
      <c r="E14" s="653" t="s">
        <v>257</v>
      </c>
      <c r="F14" s="654"/>
      <c r="G14" s="653" t="s">
        <v>258</v>
      </c>
      <c r="H14" s="654"/>
      <c r="I14" s="653" t="s">
        <v>259</v>
      </c>
      <c r="J14" s="654"/>
      <c r="K14" s="626" t="s">
        <v>341</v>
      </c>
      <c r="L14" s="627"/>
    </row>
    <row r="15" spans="2:12" ht="30" customHeight="1">
      <c r="B15" s="662"/>
      <c r="C15" s="647"/>
      <c r="D15" s="639"/>
      <c r="E15" s="634"/>
      <c r="F15" s="635"/>
      <c r="G15" s="648">
        <f>'本則付表2(2)'!J36</f>
        <v>0</v>
      </c>
      <c r="H15" s="649"/>
      <c r="I15" s="648">
        <f>'本則付表2(2)'!K36</f>
        <v>0</v>
      </c>
      <c r="J15" s="649"/>
      <c r="K15" s="628">
        <f>G15+I15</f>
        <v>0</v>
      </c>
      <c r="L15" s="628"/>
    </row>
    <row r="16" spans="2:12" ht="15.75" customHeight="1">
      <c r="B16" s="662"/>
      <c r="C16" s="661" t="s">
        <v>329</v>
      </c>
      <c r="D16" s="639" t="s">
        <v>260</v>
      </c>
      <c r="E16" s="636"/>
      <c r="F16" s="636"/>
      <c r="G16" s="636"/>
      <c r="H16" s="636"/>
      <c r="I16" s="636"/>
      <c r="J16" s="636"/>
      <c r="K16" s="626" t="s">
        <v>342</v>
      </c>
      <c r="L16" s="627"/>
    </row>
    <row r="17" spans="2:12" ht="31.5" customHeight="1">
      <c r="B17" s="662"/>
      <c r="C17" s="647"/>
      <c r="D17" s="639"/>
      <c r="E17" s="630"/>
      <c r="F17" s="630"/>
      <c r="G17" s="652"/>
      <c r="H17" s="652"/>
      <c r="I17" s="652"/>
      <c r="J17" s="652"/>
      <c r="K17" s="652"/>
      <c r="L17" s="652"/>
    </row>
    <row r="18" spans="2:12" ht="15.75" customHeight="1">
      <c r="B18" s="662"/>
      <c r="C18" s="661" t="s">
        <v>330</v>
      </c>
      <c r="D18" s="639" t="s">
        <v>261</v>
      </c>
      <c r="E18" s="636"/>
      <c r="F18" s="636"/>
      <c r="G18" s="636"/>
      <c r="H18" s="636"/>
      <c r="I18" s="636"/>
      <c r="J18" s="636"/>
      <c r="K18" s="626" t="s">
        <v>343</v>
      </c>
      <c r="L18" s="627"/>
    </row>
    <row r="19" spans="2:12" ht="30.75" customHeight="1">
      <c r="B19" s="662"/>
      <c r="C19" s="647"/>
      <c r="D19" s="639"/>
      <c r="E19" s="637"/>
      <c r="F19" s="637"/>
      <c r="G19" s="625">
        <f>INT('最初'!C20*4/105)</f>
        <v>0</v>
      </c>
      <c r="H19" s="625"/>
      <c r="I19" s="625"/>
      <c r="J19" s="625"/>
      <c r="K19" s="625">
        <f>G19+I19</f>
        <v>0</v>
      </c>
      <c r="L19" s="625"/>
    </row>
    <row r="20" spans="2:12" ht="15.75" customHeight="1">
      <c r="B20" s="662"/>
      <c r="C20" s="661" t="s">
        <v>331</v>
      </c>
      <c r="D20" s="639" t="s">
        <v>295</v>
      </c>
      <c r="E20" s="630"/>
      <c r="F20" s="630"/>
      <c r="G20" s="630"/>
      <c r="H20" s="630"/>
      <c r="I20" s="630"/>
      <c r="J20" s="630"/>
      <c r="K20" s="655" t="s">
        <v>345</v>
      </c>
      <c r="L20" s="631"/>
    </row>
    <row r="21" spans="2:12" ht="32.25" customHeight="1">
      <c r="B21" s="662"/>
      <c r="C21" s="647"/>
      <c r="D21" s="639"/>
      <c r="E21" s="637"/>
      <c r="F21" s="637"/>
      <c r="G21" s="625">
        <f>G15+G17+G19</f>
        <v>0</v>
      </c>
      <c r="H21" s="625"/>
      <c r="I21" s="625">
        <f>I15+I17+I19</f>
        <v>0</v>
      </c>
      <c r="J21" s="625"/>
      <c r="K21" s="625">
        <f>G21+I21</f>
        <v>0</v>
      </c>
      <c r="L21" s="625"/>
    </row>
    <row r="22" spans="2:12" ht="15.75" customHeight="1">
      <c r="B22" s="661" t="s">
        <v>332</v>
      </c>
      <c r="C22" s="647"/>
      <c r="D22" s="639" t="s">
        <v>298</v>
      </c>
      <c r="E22" s="630"/>
      <c r="F22" s="630"/>
      <c r="G22" s="631" t="s">
        <v>262</v>
      </c>
      <c r="H22" s="631"/>
      <c r="I22" s="631" t="s">
        <v>263</v>
      </c>
      <c r="J22" s="631"/>
      <c r="K22" s="630"/>
      <c r="L22" s="630"/>
    </row>
    <row r="23" spans="2:12" ht="31.5" customHeight="1">
      <c r="B23" s="647"/>
      <c r="C23" s="647"/>
      <c r="D23" s="639"/>
      <c r="E23" s="637"/>
      <c r="F23" s="637"/>
      <c r="G23" s="625">
        <f>IF(G21-G11-G13&gt;0,G21-G11-G13,0)</f>
        <v>0</v>
      </c>
      <c r="H23" s="625"/>
      <c r="I23" s="625">
        <f>IF(I21-I11-I13&gt;0,I21-I11-I13,0)</f>
        <v>0</v>
      </c>
      <c r="J23" s="625"/>
      <c r="K23" s="625">
        <f>IF(K21-K11-K13&gt;0,K21-K11-K13,)</f>
        <v>0</v>
      </c>
      <c r="L23" s="625"/>
    </row>
    <row r="24" spans="2:12" ht="15.75" customHeight="1">
      <c r="B24" s="661" t="s">
        <v>333</v>
      </c>
      <c r="C24" s="647"/>
      <c r="D24" s="639" t="s">
        <v>264</v>
      </c>
      <c r="E24" s="630"/>
      <c r="F24" s="630"/>
      <c r="G24" s="631" t="s">
        <v>265</v>
      </c>
      <c r="H24" s="631"/>
      <c r="I24" s="631" t="s">
        <v>266</v>
      </c>
      <c r="J24" s="631"/>
      <c r="K24" s="630"/>
      <c r="L24" s="630"/>
    </row>
    <row r="25" spans="2:12" ht="31.5" customHeight="1">
      <c r="B25" s="647"/>
      <c r="C25" s="647"/>
      <c r="D25" s="639"/>
      <c r="E25" s="630"/>
      <c r="F25" s="630"/>
      <c r="G25" s="628">
        <f>IF(G11+G13-G21&gt;0,G11+G13-G21,0)</f>
        <v>0</v>
      </c>
      <c r="H25" s="628"/>
      <c r="I25" s="628">
        <f>IF(I11+I13-I21&gt;0,I11+I13-I21,0)</f>
        <v>0</v>
      </c>
      <c r="J25" s="628"/>
      <c r="K25" s="628">
        <f>IF(K11+K13-K21&gt;0,K11+K13-K21,0)</f>
        <v>0</v>
      </c>
      <c r="L25" s="628"/>
    </row>
    <row r="26" spans="2:12" ht="21.75" customHeight="1">
      <c r="B26" s="661" t="s">
        <v>334</v>
      </c>
      <c r="C26" s="647"/>
      <c r="D26" s="639" t="s">
        <v>267</v>
      </c>
      <c r="E26" s="657"/>
      <c r="F26" s="658"/>
      <c r="G26" s="657"/>
      <c r="H26" s="658"/>
      <c r="I26" s="657"/>
      <c r="J26" s="658"/>
      <c r="K26" s="656" t="s">
        <v>346</v>
      </c>
      <c r="L26" s="627"/>
    </row>
    <row r="27" spans="2:12" ht="36.75" customHeight="1">
      <c r="B27" s="647"/>
      <c r="C27" s="647"/>
      <c r="D27" s="639"/>
      <c r="E27" s="659"/>
      <c r="F27" s="660"/>
      <c r="G27" s="659"/>
      <c r="H27" s="660"/>
      <c r="I27" s="659"/>
      <c r="J27" s="660"/>
      <c r="K27" s="628">
        <f>K25-K23</f>
        <v>0</v>
      </c>
      <c r="L27" s="628"/>
    </row>
    <row r="28" spans="2:12" ht="15.75" customHeight="1">
      <c r="B28" s="665" t="s">
        <v>371</v>
      </c>
      <c r="C28" s="663" t="s">
        <v>335</v>
      </c>
      <c r="D28" s="639" t="s">
        <v>268</v>
      </c>
      <c r="E28" s="657"/>
      <c r="F28" s="658"/>
      <c r="G28" s="627" t="s">
        <v>269</v>
      </c>
      <c r="H28" s="627"/>
      <c r="I28" s="627" t="s">
        <v>270</v>
      </c>
      <c r="J28" s="627"/>
      <c r="K28" s="636"/>
      <c r="L28" s="636"/>
    </row>
    <row r="29" spans="2:12" ht="32.25" customHeight="1">
      <c r="B29" s="666"/>
      <c r="C29" s="664"/>
      <c r="D29" s="639"/>
      <c r="E29" s="659"/>
      <c r="F29" s="660"/>
      <c r="G29" s="628">
        <f>G23</f>
        <v>0</v>
      </c>
      <c r="H29" s="628"/>
      <c r="I29" s="628">
        <f>I23</f>
        <v>0</v>
      </c>
      <c r="J29" s="628"/>
      <c r="K29" s="628">
        <f>G29+I29</f>
        <v>0</v>
      </c>
      <c r="L29" s="628"/>
    </row>
    <row r="30" spans="2:12" ht="15.75" customHeight="1">
      <c r="B30" s="666"/>
      <c r="C30" s="664" t="s">
        <v>189</v>
      </c>
      <c r="D30" s="639" t="s">
        <v>271</v>
      </c>
      <c r="E30" s="657"/>
      <c r="F30" s="658"/>
      <c r="G30" s="627" t="s">
        <v>272</v>
      </c>
      <c r="H30" s="627"/>
      <c r="I30" s="627" t="s">
        <v>273</v>
      </c>
      <c r="J30" s="627"/>
      <c r="K30" s="636"/>
      <c r="L30" s="636"/>
    </row>
    <row r="31" spans="2:12" ht="33.75" customHeight="1">
      <c r="B31" s="667"/>
      <c r="C31" s="664"/>
      <c r="D31" s="639"/>
      <c r="E31" s="659"/>
      <c r="F31" s="660"/>
      <c r="G31" s="628">
        <f>G25</f>
        <v>0</v>
      </c>
      <c r="H31" s="628"/>
      <c r="I31" s="628">
        <f>I25</f>
        <v>0</v>
      </c>
      <c r="J31" s="628"/>
      <c r="K31" s="628">
        <f>G31+I31</f>
        <v>0</v>
      </c>
      <c r="L31" s="628"/>
    </row>
    <row r="32" spans="2:12" ht="21" customHeight="1">
      <c r="B32" s="661" t="s">
        <v>336</v>
      </c>
      <c r="C32" s="647"/>
      <c r="D32" s="639" t="s">
        <v>274</v>
      </c>
      <c r="E32" s="657"/>
      <c r="F32" s="658"/>
      <c r="G32" s="657"/>
      <c r="H32" s="658"/>
      <c r="I32" s="657"/>
      <c r="J32" s="658"/>
      <c r="K32" s="656" t="s">
        <v>347</v>
      </c>
      <c r="L32" s="627"/>
    </row>
    <row r="33" spans="2:12" ht="33.75" customHeight="1">
      <c r="B33" s="647"/>
      <c r="C33" s="647"/>
      <c r="D33" s="639"/>
      <c r="E33" s="659"/>
      <c r="F33" s="660"/>
      <c r="G33" s="659"/>
      <c r="H33" s="660"/>
      <c r="I33" s="659"/>
      <c r="J33" s="660"/>
      <c r="K33" s="625">
        <f>K31-K29</f>
        <v>0</v>
      </c>
      <c r="L33" s="625"/>
    </row>
    <row r="34" spans="2:12" ht="15.75" customHeight="1">
      <c r="B34" s="662" t="s">
        <v>337</v>
      </c>
      <c r="C34" s="647" t="s">
        <v>209</v>
      </c>
      <c r="D34" s="639" t="s">
        <v>275</v>
      </c>
      <c r="E34" s="657"/>
      <c r="F34" s="658"/>
      <c r="G34" s="631" t="s">
        <v>276</v>
      </c>
      <c r="H34" s="631"/>
      <c r="I34" s="631" t="s">
        <v>277</v>
      </c>
      <c r="J34" s="631"/>
      <c r="K34" s="630"/>
      <c r="L34" s="630"/>
    </row>
    <row r="35" spans="2:12" ht="30.75" customHeight="1">
      <c r="B35" s="662"/>
      <c r="C35" s="647"/>
      <c r="D35" s="639"/>
      <c r="E35" s="659"/>
      <c r="F35" s="660"/>
      <c r="G35" s="625">
        <f>INT(G29*25/100)</f>
        <v>0</v>
      </c>
      <c r="H35" s="625"/>
      <c r="I35" s="625">
        <f>INT(I29*17/63)</f>
        <v>0</v>
      </c>
      <c r="J35" s="625"/>
      <c r="K35" s="628">
        <f>G35+I35</f>
        <v>0</v>
      </c>
      <c r="L35" s="628"/>
    </row>
    <row r="36" spans="2:12" ht="15.75" customHeight="1">
      <c r="B36" s="662"/>
      <c r="C36" s="647" t="s">
        <v>278</v>
      </c>
      <c r="D36" s="639" t="s">
        <v>279</v>
      </c>
      <c r="E36" s="657"/>
      <c r="F36" s="658"/>
      <c r="G36" s="631" t="s">
        <v>280</v>
      </c>
      <c r="H36" s="631"/>
      <c r="I36" s="631" t="s">
        <v>281</v>
      </c>
      <c r="J36" s="631"/>
      <c r="K36" s="636"/>
      <c r="L36" s="636"/>
    </row>
    <row r="37" spans="2:12" ht="31.5" customHeight="1">
      <c r="B37" s="662"/>
      <c r="C37" s="647"/>
      <c r="D37" s="639"/>
      <c r="E37" s="659"/>
      <c r="F37" s="660"/>
      <c r="G37" s="625">
        <f>INT(G31*25/100)</f>
        <v>0</v>
      </c>
      <c r="H37" s="625"/>
      <c r="I37" s="625">
        <f>INT(I31*17/63)</f>
        <v>0</v>
      </c>
      <c r="J37" s="625"/>
      <c r="K37" s="625">
        <f>G37+I37</f>
        <v>0</v>
      </c>
      <c r="L37" s="625"/>
    </row>
    <row r="38" spans="2:12" ht="21" customHeight="1">
      <c r="B38" s="661" t="s">
        <v>338</v>
      </c>
      <c r="C38" s="647"/>
      <c r="D38" s="639" t="s">
        <v>322</v>
      </c>
      <c r="E38" s="657"/>
      <c r="F38" s="658"/>
      <c r="G38" s="657"/>
      <c r="H38" s="658"/>
      <c r="I38" s="657"/>
      <c r="J38" s="658"/>
      <c r="K38" s="656" t="s">
        <v>348</v>
      </c>
      <c r="L38" s="627"/>
    </row>
    <row r="39" spans="2:12" ht="29.25" customHeight="1">
      <c r="B39" s="647"/>
      <c r="C39" s="647"/>
      <c r="D39" s="639"/>
      <c r="E39" s="659"/>
      <c r="F39" s="660"/>
      <c r="G39" s="659"/>
      <c r="H39" s="660"/>
      <c r="I39" s="659"/>
      <c r="J39" s="660"/>
      <c r="K39" s="625">
        <f>K37-K35</f>
        <v>0</v>
      </c>
      <c r="L39" s="625"/>
    </row>
    <row r="40" ht="13.5">
      <c r="D40" s="325"/>
    </row>
    <row r="41" ht="13.5" customHeight="1">
      <c r="D41" s="325"/>
    </row>
    <row r="42" ht="13.5" customHeight="1">
      <c r="D42" s="325"/>
    </row>
    <row r="43" ht="13.5">
      <c r="D43" s="325"/>
    </row>
    <row r="44" ht="13.5" customHeight="1">
      <c r="D44" s="325"/>
    </row>
    <row r="45" ht="13.5">
      <c r="D45" s="325"/>
    </row>
    <row r="46" ht="13.5">
      <c r="D46" s="325"/>
    </row>
    <row r="47" ht="13.5">
      <c r="D47" s="325"/>
    </row>
    <row r="48" ht="13.5" customHeight="1">
      <c r="D48" s="325"/>
    </row>
    <row r="49" ht="13.5">
      <c r="D49" s="325"/>
    </row>
    <row r="50" ht="13.5">
      <c r="D50" s="325"/>
    </row>
    <row r="51" ht="13.5">
      <c r="D51" s="325"/>
    </row>
    <row r="52" ht="13.5">
      <c r="D52" s="325"/>
    </row>
    <row r="53" ht="13.5">
      <c r="D53" s="325"/>
    </row>
    <row r="54" ht="13.5">
      <c r="D54" s="325"/>
    </row>
    <row r="55" ht="13.5">
      <c r="D55" s="325"/>
    </row>
    <row r="56" ht="13.5">
      <c r="D56" s="325"/>
    </row>
    <row r="57" ht="13.5">
      <c r="D57" s="325"/>
    </row>
    <row r="58" ht="13.5">
      <c r="D58" s="325"/>
    </row>
    <row r="59" ht="13.5">
      <c r="D59" s="325"/>
    </row>
    <row r="60" ht="13.5">
      <c r="D60" s="325"/>
    </row>
    <row r="61" ht="13.5">
      <c r="D61" s="325"/>
    </row>
    <row r="62" ht="13.5">
      <c r="D62" s="325"/>
    </row>
    <row r="63" ht="13.5">
      <c r="D63" s="325"/>
    </row>
    <row r="64" ht="13.5">
      <c r="D64" s="325"/>
    </row>
    <row r="65" ht="13.5">
      <c r="D65" s="325"/>
    </row>
    <row r="66" ht="13.5">
      <c r="D66" s="325"/>
    </row>
    <row r="67" ht="13.5">
      <c r="D67" s="325"/>
    </row>
    <row r="68" ht="13.5">
      <c r="D68" s="325"/>
    </row>
    <row r="69" ht="13.5">
      <c r="D69" s="325"/>
    </row>
    <row r="70" ht="13.5">
      <c r="D70" s="325"/>
    </row>
    <row r="71" ht="13.5">
      <c r="D71" s="325"/>
    </row>
    <row r="72" ht="13.5">
      <c r="D72" s="325"/>
    </row>
    <row r="73" ht="13.5">
      <c r="D73" s="325"/>
    </row>
    <row r="74" ht="13.5">
      <c r="D74" s="325"/>
    </row>
    <row r="75" ht="13.5">
      <c r="D75" s="325"/>
    </row>
    <row r="76" ht="13.5">
      <c r="D76" s="325"/>
    </row>
    <row r="77" ht="13.5">
      <c r="D77" s="325"/>
    </row>
    <row r="78" ht="13.5">
      <c r="D78" s="325"/>
    </row>
    <row r="79" ht="13.5">
      <c r="D79" s="325"/>
    </row>
    <row r="80" ht="13.5">
      <c r="D80" s="325"/>
    </row>
    <row r="81" ht="13.5">
      <c r="D81" s="325"/>
    </row>
    <row r="82" ht="13.5">
      <c r="D82" s="325"/>
    </row>
    <row r="83" ht="13.5">
      <c r="D83" s="325"/>
    </row>
    <row r="84" ht="13.5">
      <c r="D84" s="325"/>
    </row>
    <row r="85" ht="13.5">
      <c r="D85" s="325"/>
    </row>
    <row r="86" ht="13.5">
      <c r="D86" s="325"/>
    </row>
    <row r="87" ht="13.5">
      <c r="D87" s="325"/>
    </row>
    <row r="88" ht="13.5">
      <c r="D88" s="325"/>
    </row>
    <row r="89" ht="13.5">
      <c r="D89" s="325"/>
    </row>
    <row r="90" ht="13.5">
      <c r="D90" s="325"/>
    </row>
  </sheetData>
  <sheetProtection/>
  <mergeCells count="160">
    <mergeCell ref="E34:F35"/>
    <mergeCell ref="I37:J37"/>
    <mergeCell ref="K37:L37"/>
    <mergeCell ref="K38:L38"/>
    <mergeCell ref="E36:F37"/>
    <mergeCell ref="I38:J39"/>
    <mergeCell ref="I35:J35"/>
    <mergeCell ref="K35:L35"/>
    <mergeCell ref="G36:H36"/>
    <mergeCell ref="I36:J36"/>
    <mergeCell ref="K36:L36"/>
    <mergeCell ref="K39:L39"/>
    <mergeCell ref="C36:C37"/>
    <mergeCell ref="B34:B37"/>
    <mergeCell ref="B38:C39"/>
    <mergeCell ref="G35:H35"/>
    <mergeCell ref="G37:H37"/>
    <mergeCell ref="D30:D31"/>
    <mergeCell ref="D32:D33"/>
    <mergeCell ref="D34:D35"/>
    <mergeCell ref="E38:F39"/>
    <mergeCell ref="G38:H39"/>
    <mergeCell ref="C28:C29"/>
    <mergeCell ref="C30:C31"/>
    <mergeCell ref="B28:B31"/>
    <mergeCell ref="B32:C33"/>
    <mergeCell ref="I26:J27"/>
    <mergeCell ref="C34:C35"/>
    <mergeCell ref="E26:F27"/>
    <mergeCell ref="E28:F29"/>
    <mergeCell ref="E30:F31"/>
    <mergeCell ref="E32:F33"/>
    <mergeCell ref="G26:H27"/>
    <mergeCell ref="E25:F25"/>
    <mergeCell ref="G25:H25"/>
    <mergeCell ref="D24:D25"/>
    <mergeCell ref="G31:H31"/>
    <mergeCell ref="G28:H28"/>
    <mergeCell ref="B22:C23"/>
    <mergeCell ref="D18:D19"/>
    <mergeCell ref="D20:D21"/>
    <mergeCell ref="D22:D23"/>
    <mergeCell ref="D36:D37"/>
    <mergeCell ref="D38:D39"/>
    <mergeCell ref="D26:D27"/>
    <mergeCell ref="D28:D29"/>
    <mergeCell ref="B24:C25"/>
    <mergeCell ref="B26:C27"/>
    <mergeCell ref="B12:C13"/>
    <mergeCell ref="D12:D13"/>
    <mergeCell ref="D14:D15"/>
    <mergeCell ref="D16:D17"/>
    <mergeCell ref="B14:B21"/>
    <mergeCell ref="C14:C15"/>
    <mergeCell ref="C16:C17"/>
    <mergeCell ref="C18:C19"/>
    <mergeCell ref="C20:C21"/>
    <mergeCell ref="K33:L33"/>
    <mergeCell ref="G34:H34"/>
    <mergeCell ref="I34:J34"/>
    <mergeCell ref="K34:L34"/>
    <mergeCell ref="G32:H33"/>
    <mergeCell ref="I32:J33"/>
    <mergeCell ref="I31:J31"/>
    <mergeCell ref="K31:L31"/>
    <mergeCell ref="K32:L32"/>
    <mergeCell ref="G29:H29"/>
    <mergeCell ref="I29:J29"/>
    <mergeCell ref="K29:L29"/>
    <mergeCell ref="G30:H30"/>
    <mergeCell ref="I30:J30"/>
    <mergeCell ref="K30:L30"/>
    <mergeCell ref="I28:J28"/>
    <mergeCell ref="I25:J25"/>
    <mergeCell ref="K25:L25"/>
    <mergeCell ref="K26:L26"/>
    <mergeCell ref="E23:F23"/>
    <mergeCell ref="G23:H23"/>
    <mergeCell ref="I23:J23"/>
    <mergeCell ref="K23:L23"/>
    <mergeCell ref="E24:F24"/>
    <mergeCell ref="G24:H24"/>
    <mergeCell ref="I24:J24"/>
    <mergeCell ref="G21:H21"/>
    <mergeCell ref="I21:J21"/>
    <mergeCell ref="E22:F22"/>
    <mergeCell ref="G22:H22"/>
    <mergeCell ref="I22:J22"/>
    <mergeCell ref="E19:F19"/>
    <mergeCell ref="G19:H19"/>
    <mergeCell ref="I19:J19"/>
    <mergeCell ref="K19:L19"/>
    <mergeCell ref="E20:F20"/>
    <mergeCell ref="G20:H20"/>
    <mergeCell ref="I20:J20"/>
    <mergeCell ref="K20:L20"/>
    <mergeCell ref="E16:F16"/>
    <mergeCell ref="G16:H16"/>
    <mergeCell ref="I16:J16"/>
    <mergeCell ref="K16:L16"/>
    <mergeCell ref="E17:F17"/>
    <mergeCell ref="G17:H17"/>
    <mergeCell ref="I17:J17"/>
    <mergeCell ref="K17:L17"/>
    <mergeCell ref="G11:H11"/>
    <mergeCell ref="I11:J11"/>
    <mergeCell ref="G13:H13"/>
    <mergeCell ref="I13:J13"/>
    <mergeCell ref="K13:L13"/>
    <mergeCell ref="E14:F14"/>
    <mergeCell ref="G14:H14"/>
    <mergeCell ref="I14:J14"/>
    <mergeCell ref="K14:L14"/>
    <mergeCell ref="D8:D9"/>
    <mergeCell ref="B8:C9"/>
    <mergeCell ref="I9:J9"/>
    <mergeCell ref="E10:F10"/>
    <mergeCell ref="G10:H10"/>
    <mergeCell ref="I10:J10"/>
    <mergeCell ref="B10:C11"/>
    <mergeCell ref="D10:D11"/>
    <mergeCell ref="K7:L7"/>
    <mergeCell ref="L3:L4"/>
    <mergeCell ref="B7:D7"/>
    <mergeCell ref="E7:F7"/>
    <mergeCell ref="G7:H7"/>
    <mergeCell ref="I7:J7"/>
    <mergeCell ref="C6:D6"/>
    <mergeCell ref="H6:I6"/>
    <mergeCell ref="J6:L6"/>
    <mergeCell ref="E6:G6"/>
    <mergeCell ref="K28:L28"/>
    <mergeCell ref="K27:L27"/>
    <mergeCell ref="K24:L24"/>
    <mergeCell ref="K21:L21"/>
    <mergeCell ref="E21:F21"/>
    <mergeCell ref="K18:L18"/>
    <mergeCell ref="E18:F18"/>
    <mergeCell ref="G18:H18"/>
    <mergeCell ref="I18:J18"/>
    <mergeCell ref="K22:L22"/>
    <mergeCell ref="K15:L15"/>
    <mergeCell ref="K12:L12"/>
    <mergeCell ref="E12:F12"/>
    <mergeCell ref="G12:H12"/>
    <mergeCell ref="I12:J12"/>
    <mergeCell ref="E13:F13"/>
    <mergeCell ref="E15:F15"/>
    <mergeCell ref="G15:H15"/>
    <mergeCell ref="I15:J15"/>
    <mergeCell ref="K11:L11"/>
    <mergeCell ref="K10:L10"/>
    <mergeCell ref="K9:L9"/>
    <mergeCell ref="K8:L8"/>
    <mergeCell ref="E9:F9"/>
    <mergeCell ref="G9:H9"/>
    <mergeCell ref="E8:F8"/>
    <mergeCell ref="G8:H8"/>
    <mergeCell ref="I8:J8"/>
    <mergeCell ref="E11:F11"/>
  </mergeCells>
  <printOptions/>
  <pageMargins left="0.5" right="0.5" top="0.8" bottom="0.5" header="0.3" footer="0.3"/>
  <pageSetup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2">
    <tabColor rgb="FF92D050"/>
  </sheetPr>
  <dimension ref="B3:N42"/>
  <sheetViews>
    <sheetView zoomScale="82" zoomScaleNormal="82" zoomScalePageLayoutView="0" workbookViewId="0" topLeftCell="B1">
      <selection activeCell="A1" sqref="A1"/>
    </sheetView>
  </sheetViews>
  <sheetFormatPr defaultColWidth="9.00390625" defaultRowHeight="13.5"/>
  <cols>
    <col min="1" max="1" width="2.25390625" style="321" hidden="1" customWidth="1"/>
    <col min="2" max="2" width="2.50390625" style="321" customWidth="1"/>
    <col min="3" max="3" width="3.875" style="321" customWidth="1"/>
    <col min="4" max="4" width="3.75390625" style="321" customWidth="1"/>
    <col min="5" max="5" width="3.375" style="321" customWidth="1"/>
    <col min="6" max="7" width="16.25390625" style="321" customWidth="1"/>
    <col min="8" max="8" width="2.75390625" style="321" customWidth="1"/>
    <col min="9" max="12" width="17.875" style="321" customWidth="1"/>
    <col min="13" max="13" width="3.25390625" style="321" customWidth="1"/>
    <col min="14" max="14" width="15.625" style="321" customWidth="1"/>
    <col min="15" max="16384" width="9.00390625" style="321" customWidth="1"/>
  </cols>
  <sheetData>
    <row r="3" spans="2:12" ht="5.25" customHeight="1">
      <c r="B3" s="322"/>
      <c r="C3" s="322"/>
      <c r="D3" s="322"/>
      <c r="E3" s="322"/>
      <c r="F3" s="322"/>
      <c r="G3" s="322"/>
      <c r="H3" s="322"/>
      <c r="I3" s="322"/>
      <c r="J3" s="322"/>
      <c r="K3" s="322"/>
      <c r="L3" s="322"/>
    </row>
    <row r="4" spans="2:12" ht="17.25">
      <c r="B4" s="322"/>
      <c r="C4" s="322"/>
      <c r="E4" s="338" t="s">
        <v>283</v>
      </c>
      <c r="F4" s="338"/>
      <c r="G4" s="322"/>
      <c r="H4" s="322"/>
      <c r="I4" s="322"/>
      <c r="J4" s="322"/>
      <c r="K4" s="322"/>
      <c r="L4" s="322"/>
    </row>
    <row r="5" spans="2:12" ht="17.25">
      <c r="B5" s="322"/>
      <c r="C5" s="322"/>
      <c r="D5" s="322"/>
      <c r="E5" s="339" t="s">
        <v>284</v>
      </c>
      <c r="F5" s="339"/>
      <c r="G5" s="322"/>
      <c r="H5" s="322"/>
      <c r="I5" s="322"/>
      <c r="J5" s="322"/>
      <c r="K5" s="322"/>
      <c r="L5" s="695" t="s">
        <v>286</v>
      </c>
    </row>
    <row r="6" spans="2:12" ht="13.5">
      <c r="B6" s="322"/>
      <c r="C6" s="322"/>
      <c r="D6" s="322"/>
      <c r="E6" s="337" t="s">
        <v>285</v>
      </c>
      <c r="F6" s="323"/>
      <c r="G6" s="322"/>
      <c r="H6" s="322"/>
      <c r="I6" s="322"/>
      <c r="J6" s="322"/>
      <c r="K6" s="322"/>
      <c r="L6" s="696"/>
    </row>
    <row r="7" spans="2:12" ht="13.5">
      <c r="B7" s="322"/>
      <c r="C7" s="322"/>
      <c r="D7" s="322"/>
      <c r="E7" s="322"/>
      <c r="F7" s="322"/>
      <c r="G7" s="322"/>
      <c r="H7" s="322"/>
      <c r="I7" s="322"/>
      <c r="J7" s="322"/>
      <c r="K7" s="322"/>
      <c r="L7" s="322"/>
    </row>
    <row r="8" spans="2:12" ht="30.75" customHeight="1">
      <c r="B8" s="322"/>
      <c r="C8" s="328"/>
      <c r="D8" s="328"/>
      <c r="E8" s="328"/>
      <c r="F8" s="328"/>
      <c r="G8" s="332" t="s">
        <v>287</v>
      </c>
      <c r="H8" s="670" t="s">
        <v>365</v>
      </c>
      <c r="I8" s="671"/>
      <c r="J8" s="333" t="s">
        <v>249</v>
      </c>
      <c r="K8" s="672"/>
      <c r="L8" s="673"/>
    </row>
    <row r="9" spans="2:12" ht="27" customHeight="1">
      <c r="B9" s="322"/>
      <c r="C9" s="674"/>
      <c r="D9" s="674"/>
      <c r="E9" s="674"/>
      <c r="F9" s="674"/>
      <c r="G9" s="674"/>
      <c r="H9" s="674"/>
      <c r="I9" s="334" t="s">
        <v>349</v>
      </c>
      <c r="J9" s="334" t="s">
        <v>350</v>
      </c>
      <c r="K9" s="335" t="s">
        <v>351</v>
      </c>
      <c r="L9" s="336" t="s">
        <v>352</v>
      </c>
    </row>
    <row r="10" spans="2:12" ht="13.5">
      <c r="B10" s="322"/>
      <c r="C10" s="676"/>
      <c r="D10" s="676"/>
      <c r="E10" s="675" t="s">
        <v>288</v>
      </c>
      <c r="F10" s="675"/>
      <c r="G10" s="675"/>
      <c r="H10" s="676" t="s">
        <v>289</v>
      </c>
      <c r="I10" s="340" t="s">
        <v>250</v>
      </c>
      <c r="J10" s="340" t="s">
        <v>250</v>
      </c>
      <c r="K10" s="340" t="s">
        <v>250</v>
      </c>
      <c r="L10" s="341"/>
    </row>
    <row r="11" spans="2:12" ht="27.75" customHeight="1">
      <c r="B11" s="322"/>
      <c r="C11" s="676"/>
      <c r="D11" s="676"/>
      <c r="E11" s="675"/>
      <c r="F11" s="675"/>
      <c r="G11" s="675"/>
      <c r="H11" s="676"/>
      <c r="I11" s="427"/>
      <c r="J11" s="427">
        <f>'売上仕入計算'!E19</f>
        <v>0</v>
      </c>
      <c r="K11" s="427">
        <f>'売上仕入計算'!E20</f>
        <v>0</v>
      </c>
      <c r="L11" s="428">
        <f>J11+K11</f>
        <v>0</v>
      </c>
    </row>
    <row r="12" spans="2:12" ht="27.75" customHeight="1">
      <c r="B12" s="322"/>
      <c r="C12" s="676"/>
      <c r="D12" s="676"/>
      <c r="E12" s="669" t="s">
        <v>290</v>
      </c>
      <c r="F12" s="669"/>
      <c r="G12" s="669"/>
      <c r="H12" s="327" t="s">
        <v>291</v>
      </c>
      <c r="I12" s="329"/>
      <c r="J12" s="329"/>
      <c r="K12" s="329"/>
      <c r="L12" s="401"/>
    </row>
    <row r="13" spans="2:12" ht="29.25" customHeight="1">
      <c r="B13" s="322"/>
      <c r="C13" s="676"/>
      <c r="D13" s="713"/>
      <c r="E13" s="668" t="s">
        <v>354</v>
      </c>
      <c r="F13" s="668"/>
      <c r="G13" s="668"/>
      <c r="H13" s="327" t="s">
        <v>252</v>
      </c>
      <c r="I13" s="329"/>
      <c r="J13" s="329"/>
      <c r="K13" s="329"/>
      <c r="L13" s="402"/>
    </row>
    <row r="14" spans="2:12" ht="13.5">
      <c r="B14" s="322"/>
      <c r="C14" s="676"/>
      <c r="D14" s="678" t="s">
        <v>367</v>
      </c>
      <c r="E14" s="679"/>
      <c r="F14" s="679"/>
      <c r="G14" s="679"/>
      <c r="H14" s="676" t="s">
        <v>256</v>
      </c>
      <c r="I14" s="680"/>
      <c r="J14" s="680"/>
      <c r="K14" s="680"/>
      <c r="L14" s="330" t="s">
        <v>355</v>
      </c>
    </row>
    <row r="15" spans="2:12" ht="27" customHeight="1">
      <c r="B15" s="322"/>
      <c r="C15" s="676"/>
      <c r="D15" s="679"/>
      <c r="E15" s="679"/>
      <c r="F15" s="679"/>
      <c r="G15" s="679"/>
      <c r="H15" s="676"/>
      <c r="I15" s="680"/>
      <c r="J15" s="680"/>
      <c r="K15" s="680"/>
      <c r="L15" s="429">
        <f>L11+L12+L13</f>
        <v>0</v>
      </c>
    </row>
    <row r="16" spans="2:12" ht="30.75" customHeight="1">
      <c r="B16" s="322"/>
      <c r="C16" s="676"/>
      <c r="D16" s="676"/>
      <c r="E16" s="677" t="s">
        <v>292</v>
      </c>
      <c r="F16" s="677"/>
      <c r="G16" s="677"/>
      <c r="H16" s="327" t="s">
        <v>260</v>
      </c>
      <c r="I16" s="329"/>
      <c r="J16" s="329"/>
      <c r="K16" s="329"/>
      <c r="L16" s="430">
        <f>L15</f>
        <v>0</v>
      </c>
    </row>
    <row r="17" spans="2:12" ht="27" customHeight="1">
      <c r="B17" s="322"/>
      <c r="C17" s="676"/>
      <c r="D17" s="713"/>
      <c r="E17" s="693" t="s">
        <v>293</v>
      </c>
      <c r="F17" s="693"/>
      <c r="G17" s="693"/>
      <c r="H17" s="327" t="s">
        <v>261</v>
      </c>
      <c r="I17" s="329"/>
      <c r="J17" s="329"/>
      <c r="K17" s="329"/>
      <c r="L17" s="430">
        <f>'売上修正'!J42</f>
        <v>0</v>
      </c>
    </row>
    <row r="18" spans="2:12" ht="13.5">
      <c r="B18" s="322"/>
      <c r="C18" s="676"/>
      <c r="D18" s="697" t="s">
        <v>294</v>
      </c>
      <c r="E18" s="698"/>
      <c r="F18" s="698"/>
      <c r="G18" s="698"/>
      <c r="H18" s="676" t="s">
        <v>295</v>
      </c>
      <c r="I18" s="680"/>
      <c r="J18" s="680"/>
      <c r="K18" s="680"/>
      <c r="L18" s="331" t="s">
        <v>356</v>
      </c>
    </row>
    <row r="19" spans="2:12" ht="27.75" customHeight="1">
      <c r="B19" s="322"/>
      <c r="C19" s="713"/>
      <c r="D19" s="698"/>
      <c r="E19" s="698"/>
      <c r="F19" s="698"/>
      <c r="G19" s="698"/>
      <c r="H19" s="676"/>
      <c r="I19" s="680"/>
      <c r="J19" s="680"/>
      <c r="K19" s="680"/>
      <c r="L19" s="429">
        <f>L16+L17</f>
        <v>0</v>
      </c>
    </row>
    <row r="20" spans="2:12" ht="13.5">
      <c r="B20" s="322"/>
      <c r="C20" s="714" t="s">
        <v>296</v>
      </c>
      <c r="D20" s="715"/>
      <c r="E20" s="715"/>
      <c r="F20" s="715"/>
      <c r="G20" s="715"/>
      <c r="H20" s="715"/>
      <c r="I20" s="680"/>
      <c r="J20" s="680"/>
      <c r="K20" s="680"/>
      <c r="L20" s="342" t="s">
        <v>357</v>
      </c>
    </row>
    <row r="21" spans="2:12" ht="27.75" customHeight="1">
      <c r="B21" s="322"/>
      <c r="C21" s="715"/>
      <c r="D21" s="715"/>
      <c r="E21" s="715"/>
      <c r="F21" s="715"/>
      <c r="G21" s="715"/>
      <c r="H21" s="715"/>
      <c r="I21" s="680"/>
      <c r="J21" s="680"/>
      <c r="K21" s="680"/>
      <c r="L21" s="431">
        <f>IF(ISERROR(L15/L19),0,INT(L15/L19*100)/100)</f>
        <v>0</v>
      </c>
    </row>
    <row r="22" spans="2:12" ht="27" customHeight="1">
      <c r="B22" s="322"/>
      <c r="C22" s="719"/>
      <c r="D22" s="705" t="s">
        <v>297</v>
      </c>
      <c r="E22" s="705"/>
      <c r="F22" s="705"/>
      <c r="G22" s="705"/>
      <c r="H22" s="327" t="s">
        <v>298</v>
      </c>
      <c r="I22" s="403"/>
      <c r="J22" s="432">
        <f>'売上仕入計算'!M18</f>
        <v>0</v>
      </c>
      <c r="K22" s="432">
        <f>'売上仕入計算'!N18</f>
        <v>0</v>
      </c>
      <c r="L22" s="432">
        <f>'売上仕入計算'!L18</f>
        <v>0</v>
      </c>
    </row>
    <row r="23" spans="2:12" ht="13.5">
      <c r="B23" s="322"/>
      <c r="C23" s="719"/>
      <c r="D23" s="705" t="s">
        <v>299</v>
      </c>
      <c r="E23" s="705"/>
      <c r="F23" s="705"/>
      <c r="G23" s="705"/>
      <c r="H23" s="676" t="s">
        <v>264</v>
      </c>
      <c r="I23" s="343" t="s">
        <v>300</v>
      </c>
      <c r="J23" s="343" t="s">
        <v>301</v>
      </c>
      <c r="K23" s="343" t="s">
        <v>302</v>
      </c>
      <c r="L23" s="344"/>
    </row>
    <row r="24" spans="2:12" ht="27.75" customHeight="1">
      <c r="B24" s="322"/>
      <c r="C24" s="719"/>
      <c r="D24" s="705"/>
      <c r="E24" s="705"/>
      <c r="F24" s="705"/>
      <c r="G24" s="705"/>
      <c r="H24" s="676"/>
      <c r="I24" s="433">
        <v>0</v>
      </c>
      <c r="J24" s="433">
        <f>INT(J22*(4/105))</f>
        <v>0</v>
      </c>
      <c r="K24" s="433">
        <f>INT(K22*(6.3/108))</f>
        <v>0</v>
      </c>
      <c r="L24" s="433">
        <f>J24+K24</f>
        <v>0</v>
      </c>
    </row>
    <row r="25" spans="2:12" ht="27.75" customHeight="1">
      <c r="B25" s="322"/>
      <c r="C25" s="719"/>
      <c r="D25" s="706" t="s">
        <v>303</v>
      </c>
      <c r="E25" s="706"/>
      <c r="F25" s="706"/>
      <c r="G25" s="706"/>
      <c r="H25" s="327" t="s">
        <v>267</v>
      </c>
      <c r="I25" s="403"/>
      <c r="J25" s="403"/>
      <c r="K25" s="403"/>
      <c r="L25" s="404"/>
    </row>
    <row r="26" spans="2:12" ht="29.25" customHeight="1">
      <c r="B26" s="322"/>
      <c r="C26" s="720"/>
      <c r="D26" s="707" t="s">
        <v>358</v>
      </c>
      <c r="E26" s="707"/>
      <c r="F26" s="707"/>
      <c r="G26" s="707"/>
      <c r="H26" s="327" t="s">
        <v>268</v>
      </c>
      <c r="I26" s="403"/>
      <c r="J26" s="403"/>
      <c r="K26" s="403"/>
      <c r="L26" s="432">
        <f>IF('最初'!C8=2,'仕入修正'!W17,IF('最初'!C8=3,'仕入修正'!W24,0))</f>
        <v>0</v>
      </c>
    </row>
    <row r="27" spans="2:12" ht="27" customHeight="1">
      <c r="B27" s="322"/>
      <c r="C27" s="697" t="s">
        <v>304</v>
      </c>
      <c r="D27" s="698"/>
      <c r="E27" s="698"/>
      <c r="F27" s="698"/>
      <c r="G27" s="698"/>
      <c r="H27" s="327" t="s">
        <v>271</v>
      </c>
      <c r="I27" s="403"/>
      <c r="J27" s="432">
        <f>J24+J25+J26</f>
        <v>0</v>
      </c>
      <c r="K27" s="432">
        <f>K24+K25+K26</f>
        <v>0</v>
      </c>
      <c r="L27" s="432">
        <f>L24+L25+L26</f>
        <v>0</v>
      </c>
    </row>
    <row r="28" spans="2:12" ht="27" customHeight="1" thickBot="1">
      <c r="B28" s="322"/>
      <c r="C28" s="708" t="s">
        <v>366</v>
      </c>
      <c r="D28" s="708"/>
      <c r="E28" s="708"/>
      <c r="F28" s="708"/>
      <c r="G28" s="708"/>
      <c r="H28" s="327" t="s">
        <v>274</v>
      </c>
      <c r="I28" s="403"/>
      <c r="J28" s="434">
        <f>IF(AND($L$11&lt;=500000000,$L$21&gt;=95%),J27,0)</f>
        <v>0</v>
      </c>
      <c r="K28" s="434">
        <f>IF(AND($L$11&lt;=500000000,$L$21&gt;=95%),K27,0)</f>
        <v>0</v>
      </c>
      <c r="L28" s="432">
        <f>IF(AND($L$11&lt;=500000000,$L$21&gt;=95%),L27,0)</f>
        <v>0</v>
      </c>
    </row>
    <row r="29" spans="2:14" ht="27.75" customHeight="1" thickBot="1">
      <c r="B29" s="322"/>
      <c r="C29" s="691" t="s">
        <v>370</v>
      </c>
      <c r="D29" s="692"/>
      <c r="E29" s="690" t="s">
        <v>193</v>
      </c>
      <c r="F29" s="716" t="s">
        <v>305</v>
      </c>
      <c r="G29" s="716"/>
      <c r="H29" s="327" t="s">
        <v>275</v>
      </c>
      <c r="I29" s="405"/>
      <c r="J29" s="435"/>
      <c r="K29" s="435"/>
      <c r="L29" s="436">
        <f>J29+K29</f>
        <v>0</v>
      </c>
      <c r="M29" s="185" t="s">
        <v>55</v>
      </c>
      <c r="N29" s="709" t="s">
        <v>166</v>
      </c>
    </row>
    <row r="30" spans="2:14" ht="27.75" customHeight="1" thickBot="1">
      <c r="B30" s="322"/>
      <c r="C30" s="692"/>
      <c r="D30" s="692"/>
      <c r="E30" s="690"/>
      <c r="F30" s="717" t="s">
        <v>359</v>
      </c>
      <c r="G30" s="717"/>
      <c r="H30" s="327" t="s">
        <v>279</v>
      </c>
      <c r="I30" s="405"/>
      <c r="J30" s="435"/>
      <c r="K30" s="435"/>
      <c r="L30" s="436">
        <f>J30+K30</f>
        <v>0</v>
      </c>
      <c r="M30" s="185" t="s">
        <v>55</v>
      </c>
      <c r="N30" s="710"/>
    </row>
    <row r="31" spans="2:14" ht="27.75" customHeight="1">
      <c r="B31" s="322"/>
      <c r="C31" s="692"/>
      <c r="D31" s="692"/>
      <c r="E31" s="690"/>
      <c r="F31" s="718" t="s">
        <v>360</v>
      </c>
      <c r="G31" s="718"/>
      <c r="H31" s="327" t="s">
        <v>282</v>
      </c>
      <c r="I31" s="403"/>
      <c r="J31" s="437">
        <f>IF(AND($L$21&gt;=95%,$L$11&lt;=500000000),0,IF($L$29&gt;0,INT(J29+J30*$L$15/$L$19),0))</f>
        <v>0</v>
      </c>
      <c r="K31" s="437">
        <f>IF(AND($L$21&gt;=95%,$L$11&lt;=500000000),0,IF($L$29&gt;0,INT(K29+K30*$L$15/$L$19),0))</f>
        <v>0</v>
      </c>
      <c r="L31" s="436">
        <f>J31+K31</f>
        <v>0</v>
      </c>
      <c r="M31" s="154"/>
      <c r="N31" s="710"/>
    </row>
    <row r="32" spans="2:14" ht="26.25" customHeight="1">
      <c r="B32" s="322"/>
      <c r="C32" s="692"/>
      <c r="D32" s="692"/>
      <c r="E32" s="689" t="s">
        <v>368</v>
      </c>
      <c r="F32" s="689"/>
      <c r="G32" s="689"/>
      <c r="H32" s="327" t="s">
        <v>306</v>
      </c>
      <c r="I32" s="403"/>
      <c r="J32" s="432">
        <f>IF(ISERROR($L$15/$L$19),0,IF(AND($L$21&gt;=95%,$L$11&lt;=500000000),0,IF($L$29&gt;0,0,INT(J27*$L$15/$L$19))))</f>
        <v>0</v>
      </c>
      <c r="K32" s="432">
        <f>IF(ISERROR($L$15/$L$19),0,IF(AND($L$21&gt;=95%,$L$11&lt;=500000000),0,IF($L$29&gt;0,0,INT(K27*$L$15/$L$19))))</f>
        <v>0</v>
      </c>
      <c r="L32" s="436">
        <f>J32+K32</f>
        <v>0</v>
      </c>
      <c r="M32" s="154"/>
      <c r="N32" s="710"/>
    </row>
    <row r="33" spans="2:14" ht="27" customHeight="1">
      <c r="B33" s="322"/>
      <c r="C33" s="684" t="s">
        <v>369</v>
      </c>
      <c r="D33" s="686" t="s">
        <v>362</v>
      </c>
      <c r="E33" s="687"/>
      <c r="F33" s="687"/>
      <c r="G33" s="688"/>
      <c r="H33" s="327" t="s">
        <v>307</v>
      </c>
      <c r="I33" s="403"/>
      <c r="J33" s="403"/>
      <c r="K33" s="403"/>
      <c r="L33" s="404"/>
      <c r="M33" s="154"/>
      <c r="N33" s="710"/>
    </row>
    <row r="34" spans="2:14" ht="27" customHeight="1">
      <c r="B34" s="322"/>
      <c r="C34" s="685"/>
      <c r="D34" s="681" t="s">
        <v>361</v>
      </c>
      <c r="E34" s="682"/>
      <c r="F34" s="682"/>
      <c r="G34" s="683"/>
      <c r="H34" s="327" t="s">
        <v>308</v>
      </c>
      <c r="I34" s="403"/>
      <c r="J34" s="403"/>
      <c r="K34" s="403"/>
      <c r="L34" s="404"/>
      <c r="M34" s="154"/>
      <c r="N34" s="710"/>
    </row>
    <row r="35" spans="2:14" ht="13.5" customHeight="1">
      <c r="B35" s="322"/>
      <c r="C35" s="712" t="s">
        <v>309</v>
      </c>
      <c r="D35" s="681" t="s">
        <v>363</v>
      </c>
      <c r="E35" s="703"/>
      <c r="F35" s="703"/>
      <c r="G35" s="704"/>
      <c r="H35" s="676" t="s">
        <v>310</v>
      </c>
      <c r="I35" s="345" t="s">
        <v>311</v>
      </c>
      <c r="J35" s="345" t="s">
        <v>312</v>
      </c>
      <c r="K35" s="345" t="s">
        <v>313</v>
      </c>
      <c r="L35" s="344"/>
      <c r="M35" s="154"/>
      <c r="N35" s="710"/>
    </row>
    <row r="36" spans="2:14" ht="27" customHeight="1">
      <c r="B36" s="322"/>
      <c r="C36" s="712"/>
      <c r="D36" s="703"/>
      <c r="E36" s="703"/>
      <c r="F36" s="703"/>
      <c r="G36" s="704"/>
      <c r="H36" s="676"/>
      <c r="I36" s="428">
        <v>0</v>
      </c>
      <c r="J36" s="428">
        <f>IF(J28+J31+J32&gt;0,J28+J31+J32,0)</f>
        <v>0</v>
      </c>
      <c r="K36" s="428">
        <f>IF(K28+K31+K32&gt;0,K28+K31+K32,0)</f>
        <v>0</v>
      </c>
      <c r="L36" s="437">
        <f>J36+K36</f>
        <v>0</v>
      </c>
      <c r="M36" s="154"/>
      <c r="N36" s="710"/>
    </row>
    <row r="37" spans="2:14" ht="15.75" thickBot="1">
      <c r="B37" s="322"/>
      <c r="C37" s="712"/>
      <c r="D37" s="681" t="s">
        <v>364</v>
      </c>
      <c r="E37" s="703"/>
      <c r="F37" s="703"/>
      <c r="G37" s="704"/>
      <c r="H37" s="676" t="s">
        <v>314</v>
      </c>
      <c r="I37" s="345" t="s">
        <v>315</v>
      </c>
      <c r="J37" s="345" t="s">
        <v>316</v>
      </c>
      <c r="K37" s="345" t="s">
        <v>317</v>
      </c>
      <c r="L37" s="344"/>
      <c r="M37" s="154"/>
      <c r="N37" s="711"/>
    </row>
    <row r="38" spans="2:12" ht="27.75" customHeight="1">
      <c r="B38" s="322"/>
      <c r="C38" s="712"/>
      <c r="D38" s="703"/>
      <c r="E38" s="703"/>
      <c r="F38" s="703"/>
      <c r="G38" s="704"/>
      <c r="H38" s="676"/>
      <c r="I38" s="433">
        <v>0</v>
      </c>
      <c r="J38" s="433">
        <f>IF(J28+J31+J32&lt;0,-(J28+J31+J32),0)</f>
        <v>0</v>
      </c>
      <c r="K38" s="433">
        <f>IF(K28+K31+K32&lt;0,-(K28+K31+K32),0)</f>
        <v>0</v>
      </c>
      <c r="L38" s="437">
        <f>J38+K38</f>
        <v>0</v>
      </c>
    </row>
    <row r="39" spans="2:12" ht="13.5">
      <c r="B39" s="322"/>
      <c r="C39" s="699" t="s">
        <v>318</v>
      </c>
      <c r="D39" s="700"/>
      <c r="E39" s="700"/>
      <c r="F39" s="700"/>
      <c r="G39" s="700"/>
      <c r="H39" s="676" t="s">
        <v>319</v>
      </c>
      <c r="I39" s="346" t="s">
        <v>315</v>
      </c>
      <c r="J39" s="346" t="s">
        <v>316</v>
      </c>
      <c r="K39" s="346" t="s">
        <v>317</v>
      </c>
      <c r="L39" s="347"/>
    </row>
    <row r="40" spans="2:12" ht="27" customHeight="1">
      <c r="B40" s="322"/>
      <c r="C40" s="701"/>
      <c r="D40" s="702"/>
      <c r="E40" s="702"/>
      <c r="F40" s="702"/>
      <c r="G40" s="702"/>
      <c r="H40" s="676"/>
      <c r="I40" s="438">
        <v>0</v>
      </c>
      <c r="J40" s="438">
        <v>0</v>
      </c>
      <c r="K40" s="438">
        <v>0</v>
      </c>
      <c r="L40" s="437">
        <f>J40+K40</f>
        <v>0</v>
      </c>
    </row>
    <row r="41" spans="2:12" ht="13.5">
      <c r="B41" s="322"/>
      <c r="C41" s="694"/>
      <c r="D41" s="694"/>
      <c r="E41" s="694"/>
      <c r="F41" s="694"/>
      <c r="G41" s="694"/>
      <c r="H41" s="694"/>
      <c r="I41" s="694"/>
      <c r="J41" s="694"/>
      <c r="K41" s="694"/>
      <c r="L41" s="694"/>
    </row>
    <row r="42" spans="2:12" ht="13.5">
      <c r="B42" s="322"/>
      <c r="C42" s="322"/>
      <c r="D42" s="322"/>
      <c r="E42" s="322"/>
      <c r="F42" s="322"/>
      <c r="G42" s="322"/>
      <c r="H42" s="322"/>
      <c r="I42" s="322"/>
      <c r="J42" s="322"/>
      <c r="K42" s="322"/>
      <c r="L42" s="322"/>
    </row>
  </sheetData>
  <sheetProtection/>
  <mergeCells count="53">
    <mergeCell ref="N29:N37"/>
    <mergeCell ref="C35:C38"/>
    <mergeCell ref="D10:D13"/>
    <mergeCell ref="C10:C19"/>
    <mergeCell ref="D16:D17"/>
    <mergeCell ref="C20:H21"/>
    <mergeCell ref="F29:G29"/>
    <mergeCell ref="F30:G30"/>
    <mergeCell ref="F31:G31"/>
    <mergeCell ref="C22:C26"/>
    <mergeCell ref="D22:G22"/>
    <mergeCell ref="D23:G24"/>
    <mergeCell ref="D25:G25"/>
    <mergeCell ref="D26:G26"/>
    <mergeCell ref="C27:G27"/>
    <mergeCell ref="C28:G28"/>
    <mergeCell ref="E17:G17"/>
    <mergeCell ref="C41:L41"/>
    <mergeCell ref="L5:L6"/>
    <mergeCell ref="D18:G19"/>
    <mergeCell ref="C39:G40"/>
    <mergeCell ref="H39:H40"/>
    <mergeCell ref="H37:H38"/>
    <mergeCell ref="D35:G36"/>
    <mergeCell ref="H35:H36"/>
    <mergeCell ref="D37:G38"/>
    <mergeCell ref="D34:G34"/>
    <mergeCell ref="C33:C34"/>
    <mergeCell ref="D33:G33"/>
    <mergeCell ref="E32:G32"/>
    <mergeCell ref="E29:E31"/>
    <mergeCell ref="C29:D32"/>
    <mergeCell ref="H23:H24"/>
    <mergeCell ref="I20:I21"/>
    <mergeCell ref="J20:J21"/>
    <mergeCell ref="K20:K21"/>
    <mergeCell ref="H18:H19"/>
    <mergeCell ref="I18:I19"/>
    <mergeCell ref="J18:J19"/>
    <mergeCell ref="K18:K19"/>
    <mergeCell ref="E16:G16"/>
    <mergeCell ref="D14:G15"/>
    <mergeCell ref="H14:H15"/>
    <mergeCell ref="I14:I15"/>
    <mergeCell ref="J14:J15"/>
    <mergeCell ref="K14:K15"/>
    <mergeCell ref="E13:G13"/>
    <mergeCell ref="E12:G12"/>
    <mergeCell ref="H8:I8"/>
    <mergeCell ref="K8:L8"/>
    <mergeCell ref="C9:H9"/>
    <mergeCell ref="E10:G11"/>
    <mergeCell ref="H10:H11"/>
  </mergeCells>
  <printOptions/>
  <pageMargins left="0.5" right="0.5" top="0.8" bottom="0.5" header="0.3" footer="0.3"/>
  <pageSetup orientation="portrait" paperSize="9" scale="75" r:id="rId2"/>
  <drawing r:id="rId1"/>
</worksheet>
</file>

<file path=xl/worksheets/sheet8.xml><?xml version="1.0" encoding="utf-8"?>
<worksheet xmlns="http://schemas.openxmlformats.org/spreadsheetml/2006/main" xmlns:r="http://schemas.openxmlformats.org/officeDocument/2006/relationships">
  <sheetPr codeName="Sheet34">
    <tabColor indexed="50"/>
  </sheetPr>
  <dimension ref="A1:S58"/>
  <sheetViews>
    <sheetView zoomScalePageLayoutView="0" workbookViewId="0" topLeftCell="A4">
      <selection activeCell="A1" sqref="A1"/>
    </sheetView>
  </sheetViews>
  <sheetFormatPr defaultColWidth="10.00390625" defaultRowHeight="13.5"/>
  <cols>
    <col min="1" max="1" width="2.50390625" style="4" customWidth="1"/>
    <col min="2" max="2" width="4.875" style="4" customWidth="1"/>
    <col min="3" max="3" width="9.125" style="4" customWidth="1"/>
    <col min="4" max="4" width="18.125" style="4" bestFit="1" customWidth="1"/>
    <col min="5" max="5" width="5.00390625" style="4" customWidth="1"/>
    <col min="6" max="6" width="15.50390625" style="4" customWidth="1"/>
    <col min="7" max="7" width="1.625" style="4" customWidth="1"/>
    <col min="8" max="8" width="9.25390625" style="4" customWidth="1"/>
    <col min="9" max="9" width="4.125" style="4" customWidth="1"/>
    <col min="10" max="10" width="6.50390625" style="4" customWidth="1"/>
    <col min="11" max="11" width="4.875" style="4" customWidth="1"/>
    <col min="12" max="12" width="8.625" style="4" customWidth="1"/>
    <col min="13" max="14" width="6.50390625" style="4" customWidth="1"/>
    <col min="15" max="16384" width="10.00390625" style="4" customWidth="1"/>
  </cols>
  <sheetData>
    <row r="1" spans="1:15" ht="15" hidden="1">
      <c r="A1" s="186"/>
      <c r="B1" s="187"/>
      <c r="C1" s="187"/>
      <c r="D1" s="750"/>
      <c r="E1" s="750"/>
      <c r="F1" s="189"/>
      <c r="G1" s="188"/>
      <c r="H1" s="186"/>
      <c r="I1" s="186"/>
      <c r="J1" s="186"/>
      <c r="K1" s="186"/>
      <c r="L1" s="186"/>
      <c r="M1" s="186"/>
      <c r="N1" s="186"/>
      <c r="O1" s="186"/>
    </row>
    <row r="2" spans="1:15" ht="15" hidden="1">
      <c r="A2" s="186"/>
      <c r="B2" s="187"/>
      <c r="C2" s="187"/>
      <c r="D2" s="750"/>
      <c r="E2" s="750"/>
      <c r="F2" s="189"/>
      <c r="G2" s="188"/>
      <c r="H2" s="186"/>
      <c r="I2" s="186"/>
      <c r="J2" s="186"/>
      <c r="K2" s="186"/>
      <c r="L2" s="186"/>
      <c r="M2" s="186"/>
      <c r="N2" s="186"/>
      <c r="O2" s="186"/>
    </row>
    <row r="3" spans="1:15" ht="15" hidden="1">
      <c r="A3" s="186"/>
      <c r="B3" s="187"/>
      <c r="C3" s="187"/>
      <c r="D3" s="750"/>
      <c r="E3" s="751"/>
      <c r="F3" s="189"/>
      <c r="G3" s="188"/>
      <c r="H3" s="186"/>
      <c r="I3" s="186"/>
      <c r="J3" s="186"/>
      <c r="K3" s="186"/>
      <c r="L3" s="186"/>
      <c r="M3" s="186"/>
      <c r="N3" s="186"/>
      <c r="O3" s="186"/>
    </row>
    <row r="4" spans="1:15" ht="27" customHeight="1">
      <c r="A4" s="157"/>
      <c r="B4" s="190"/>
      <c r="C4" s="190"/>
      <c r="D4" s="191"/>
      <c r="E4" s="154"/>
      <c r="F4" s="90"/>
      <c r="G4" s="157"/>
      <c r="H4" s="157"/>
      <c r="I4" s="157"/>
      <c r="J4" s="157"/>
      <c r="K4" s="157"/>
      <c r="L4" s="157"/>
      <c r="M4" s="157"/>
      <c r="N4" s="157"/>
      <c r="O4" s="157"/>
    </row>
    <row r="5" spans="1:15" ht="21">
      <c r="A5" s="157"/>
      <c r="B5" s="756" t="s">
        <v>168</v>
      </c>
      <c r="C5" s="756"/>
      <c r="D5" s="756"/>
      <c r="E5" s="756"/>
      <c r="F5" s="756"/>
      <c r="G5" s="756"/>
      <c r="H5" s="756"/>
      <c r="I5" s="756"/>
      <c r="J5" s="756"/>
      <c r="K5" s="157"/>
      <c r="L5" s="157"/>
      <c r="M5" s="157"/>
      <c r="N5" s="157"/>
      <c r="O5" s="157"/>
    </row>
    <row r="6" spans="1:15" ht="17.25" customHeight="1">
      <c r="A6" s="157"/>
      <c r="B6" s="752" t="s">
        <v>169</v>
      </c>
      <c r="C6" s="753"/>
      <c r="D6" s="754"/>
      <c r="E6" s="754"/>
      <c r="F6" s="755"/>
      <c r="G6" s="157"/>
      <c r="H6" s="157"/>
      <c r="I6" s="157"/>
      <c r="J6" s="157"/>
      <c r="K6" s="157"/>
      <c r="L6" s="157"/>
      <c r="M6" s="157"/>
      <c r="N6" s="157"/>
      <c r="O6" s="157"/>
    </row>
    <row r="7" spans="1:19" ht="17.25" customHeight="1">
      <c r="A7" s="157"/>
      <c r="B7" s="580" t="s">
        <v>170</v>
      </c>
      <c r="C7" s="580"/>
      <c r="D7" s="733"/>
      <c r="E7" s="181">
        <v>1</v>
      </c>
      <c r="F7" s="161">
        <f>'本則付表1'!K9</f>
        <v>0</v>
      </c>
      <c r="G7" s="157"/>
      <c r="H7" s="157"/>
      <c r="I7" s="157"/>
      <c r="J7" s="157"/>
      <c r="K7" s="157"/>
      <c r="L7" s="157"/>
      <c r="M7" s="157"/>
      <c r="N7" s="157"/>
      <c r="O7" s="157"/>
      <c r="S7" s="348"/>
    </row>
    <row r="8" spans="1:19" ht="17.25" customHeight="1">
      <c r="A8" s="157"/>
      <c r="B8" s="580" t="s">
        <v>167</v>
      </c>
      <c r="C8" s="580"/>
      <c r="D8" s="733"/>
      <c r="E8" s="181">
        <v>2</v>
      </c>
      <c r="F8" s="161">
        <f>'本則付表1'!K11</f>
        <v>0</v>
      </c>
      <c r="G8" s="157"/>
      <c r="H8" s="157"/>
      <c r="I8" s="157"/>
      <c r="J8" s="157"/>
      <c r="K8" s="157"/>
      <c r="L8" s="157"/>
      <c r="M8" s="157"/>
      <c r="N8" s="157"/>
      <c r="O8" s="157"/>
      <c r="S8"/>
    </row>
    <row r="9" spans="1:19" ht="17.25" customHeight="1">
      <c r="A9" s="157"/>
      <c r="B9" s="580" t="s">
        <v>171</v>
      </c>
      <c r="C9" s="580"/>
      <c r="D9" s="733"/>
      <c r="E9" s="181">
        <v>3</v>
      </c>
      <c r="F9" s="161">
        <f>'本則付表1'!K13</f>
        <v>0</v>
      </c>
      <c r="G9" s="157"/>
      <c r="H9" s="732" t="s">
        <v>172</v>
      </c>
      <c r="I9" s="732"/>
      <c r="J9" s="732"/>
      <c r="K9" s="732"/>
      <c r="L9" s="732"/>
      <c r="M9" s="184" t="s">
        <v>173</v>
      </c>
      <c r="N9" s="192" t="s">
        <v>174</v>
      </c>
      <c r="O9" s="157"/>
      <c r="S9"/>
    </row>
    <row r="10" spans="1:19" ht="17.25" customHeight="1">
      <c r="A10" s="157"/>
      <c r="B10" s="743" t="s">
        <v>175</v>
      </c>
      <c r="C10" s="586" t="s">
        <v>176</v>
      </c>
      <c r="D10" s="587"/>
      <c r="E10" s="181">
        <v>4</v>
      </c>
      <c r="F10" s="161">
        <f>'本則付表1'!K15</f>
        <v>0</v>
      </c>
      <c r="G10" s="157"/>
      <c r="H10" s="732" t="s">
        <v>177</v>
      </c>
      <c r="I10" s="732"/>
      <c r="J10" s="732"/>
      <c r="K10" s="732"/>
      <c r="L10" s="732"/>
      <c r="M10" s="184" t="s">
        <v>178</v>
      </c>
      <c r="N10" s="192" t="s">
        <v>174</v>
      </c>
      <c r="O10" s="157"/>
      <c r="S10"/>
    </row>
    <row r="11" spans="1:19" ht="17.25" customHeight="1">
      <c r="A11" s="157"/>
      <c r="B11" s="744"/>
      <c r="C11" s="586" t="s">
        <v>179</v>
      </c>
      <c r="D11" s="587"/>
      <c r="E11" s="181">
        <v>5</v>
      </c>
      <c r="F11" s="161">
        <f>'本則付表1'!K17</f>
        <v>0</v>
      </c>
      <c r="G11" s="157"/>
      <c r="H11" s="732" t="s">
        <v>180</v>
      </c>
      <c r="I11" s="732"/>
      <c r="J11" s="732"/>
      <c r="K11" s="732"/>
      <c r="L11" s="732"/>
      <c r="M11" s="184" t="s">
        <v>181</v>
      </c>
      <c r="N11" s="192" t="s">
        <v>174</v>
      </c>
      <c r="O11" s="157"/>
      <c r="S11"/>
    </row>
    <row r="12" spans="1:19" ht="17.25" customHeight="1">
      <c r="A12" s="157"/>
      <c r="B12" s="744"/>
      <c r="C12" s="586" t="s">
        <v>182</v>
      </c>
      <c r="D12" s="587"/>
      <c r="E12" s="181">
        <v>6</v>
      </c>
      <c r="F12" s="161">
        <f>INT('最初'!C20*4/105)</f>
        <v>0</v>
      </c>
      <c r="G12" s="157"/>
      <c r="H12" s="732" t="s">
        <v>183</v>
      </c>
      <c r="I12" s="732"/>
      <c r="J12" s="732"/>
      <c r="K12" s="732"/>
      <c r="L12" s="732"/>
      <c r="M12" s="184" t="s">
        <v>184</v>
      </c>
      <c r="N12" s="192" t="s">
        <v>174</v>
      </c>
      <c r="O12" s="157"/>
      <c r="S12"/>
    </row>
    <row r="13" spans="1:19" ht="17.25" customHeight="1">
      <c r="A13" s="157"/>
      <c r="B13" s="744"/>
      <c r="C13" s="586" t="s">
        <v>185</v>
      </c>
      <c r="D13" s="587"/>
      <c r="E13" s="181">
        <v>7</v>
      </c>
      <c r="F13" s="161">
        <f>SUM(F10:F12)</f>
        <v>0</v>
      </c>
      <c r="G13" s="157"/>
      <c r="H13" s="745" t="s">
        <v>186</v>
      </c>
      <c r="I13" s="745"/>
      <c r="J13" s="745"/>
      <c r="K13" s="745"/>
      <c r="L13" s="745"/>
      <c r="M13" s="184" t="s">
        <v>187</v>
      </c>
      <c r="N13" s="192" t="s">
        <v>174</v>
      </c>
      <c r="O13" s="157"/>
      <c r="S13"/>
    </row>
    <row r="14" spans="1:19" ht="17.25" customHeight="1">
      <c r="A14" s="157"/>
      <c r="B14" s="580" t="s">
        <v>188</v>
      </c>
      <c r="C14" s="580"/>
      <c r="D14" s="733"/>
      <c r="E14" s="181">
        <v>8</v>
      </c>
      <c r="F14" s="161">
        <f>IF('本則付表1'!K27&lt;0,-'本則付表1'!K27,0)</f>
        <v>0</v>
      </c>
      <c r="G14" s="157"/>
      <c r="H14" s="157"/>
      <c r="I14" s="157"/>
      <c r="J14" s="157"/>
      <c r="K14" s="157"/>
      <c r="L14" s="157"/>
      <c r="M14" s="157"/>
      <c r="N14" s="157"/>
      <c r="O14" s="157"/>
      <c r="S14"/>
    </row>
    <row r="15" spans="1:19" ht="18.75" thickBot="1">
      <c r="A15" s="157"/>
      <c r="B15" s="580" t="s">
        <v>189</v>
      </c>
      <c r="C15" s="580"/>
      <c r="D15" s="733"/>
      <c r="E15" s="181">
        <v>9</v>
      </c>
      <c r="F15" s="193">
        <f>IF('本則付表1'!K27&gt;0,INT('本則付表1'!K27/100)*100,0)</f>
        <v>0</v>
      </c>
      <c r="G15" s="157"/>
      <c r="H15" s="580" t="s">
        <v>190</v>
      </c>
      <c r="I15" s="618" t="s">
        <v>191</v>
      </c>
      <c r="J15" s="759" t="s">
        <v>192</v>
      </c>
      <c r="K15" s="194">
        <f>IF('本則付表2(2)'!L29&gt;0,"○","")</f>
      </c>
      <c r="L15" s="581" t="s">
        <v>193</v>
      </c>
      <c r="M15" s="741"/>
      <c r="N15" s="742"/>
      <c r="O15" s="157"/>
      <c r="S15"/>
    </row>
    <row r="16" spans="1:19" ht="18.75" thickBot="1">
      <c r="A16" s="157"/>
      <c r="B16" s="580" t="s">
        <v>194</v>
      </c>
      <c r="C16" s="580"/>
      <c r="D16" s="733"/>
      <c r="E16" s="195">
        <v>10</v>
      </c>
      <c r="F16" s="196"/>
      <c r="G16" s="154"/>
      <c r="H16" s="733"/>
      <c r="I16" s="757"/>
      <c r="J16" s="760"/>
      <c r="K16" s="194">
        <f>IF('本則付表2(2)'!L32&gt;0,"○","")</f>
      </c>
      <c r="L16" s="581" t="s">
        <v>195</v>
      </c>
      <c r="M16" s="741"/>
      <c r="N16" s="742"/>
      <c r="O16" s="157"/>
      <c r="S16"/>
    </row>
    <row r="17" spans="1:19" ht="18">
      <c r="A17" s="157"/>
      <c r="B17" s="580" t="s">
        <v>196</v>
      </c>
      <c r="C17" s="580"/>
      <c r="D17" s="733"/>
      <c r="E17" s="181">
        <v>11</v>
      </c>
      <c r="F17" s="197">
        <f>IF(F15-F16&gt;0,INT((F15-F16)/100)*100,0)</f>
        <v>0</v>
      </c>
      <c r="G17" s="157"/>
      <c r="H17" s="733"/>
      <c r="I17" s="758"/>
      <c r="J17" s="198" t="s">
        <v>197</v>
      </c>
      <c r="K17" s="194">
        <f>IF('本則付表2(2)'!L21&gt;=95%,"○","")</f>
      </c>
      <c r="L17" s="581" t="s">
        <v>198</v>
      </c>
      <c r="M17" s="741"/>
      <c r="N17" s="742"/>
      <c r="O17" s="157"/>
      <c r="S17"/>
    </row>
    <row r="18" spans="1:19" ht="15.75" thickBot="1">
      <c r="A18" s="157"/>
      <c r="B18" s="580" t="s">
        <v>199</v>
      </c>
      <c r="C18" s="580"/>
      <c r="D18" s="733"/>
      <c r="E18" s="181">
        <v>12</v>
      </c>
      <c r="F18" s="199">
        <f>IF(F16=0,0,IF(F16-F15&gt;0,INT((F16-F15)/100)*100,0))</f>
        <v>0</v>
      </c>
      <c r="G18" s="157"/>
      <c r="H18" s="154"/>
      <c r="I18" s="154"/>
      <c r="J18" s="154"/>
      <c r="K18" s="154"/>
      <c r="L18" s="154"/>
      <c r="M18" s="154"/>
      <c r="N18" s="154"/>
      <c r="O18" s="157"/>
      <c r="S18"/>
    </row>
    <row r="19" spans="1:19" ht="19.5" customHeight="1" thickBot="1">
      <c r="A19" s="157"/>
      <c r="B19" s="737" t="s">
        <v>200</v>
      </c>
      <c r="C19" s="738"/>
      <c r="D19" s="160" t="s">
        <v>201</v>
      </c>
      <c r="E19" s="195">
        <v>13</v>
      </c>
      <c r="F19" s="196"/>
      <c r="G19" s="154"/>
      <c r="H19" s="580" t="s">
        <v>202</v>
      </c>
      <c r="I19" s="580"/>
      <c r="J19" s="580"/>
      <c r="K19" s="586"/>
      <c r="L19" s="734">
        <f>'最初'!C3</f>
        <v>0</v>
      </c>
      <c r="M19" s="735"/>
      <c r="N19" s="736"/>
      <c r="O19" s="154"/>
      <c r="S19"/>
    </row>
    <row r="20" spans="1:19" ht="19.5" customHeight="1">
      <c r="A20" s="157"/>
      <c r="B20" s="739"/>
      <c r="C20" s="740"/>
      <c r="D20" s="160" t="s">
        <v>203</v>
      </c>
      <c r="E20" s="181">
        <v>14</v>
      </c>
      <c r="F20" s="197">
        <f>IF(F19&lt;&gt;0,INT((F15-F14-F19)/100)*100,0)</f>
        <v>0</v>
      </c>
      <c r="G20" s="157"/>
      <c r="H20" s="200"/>
      <c r="I20" s="154"/>
      <c r="J20" s="154"/>
      <c r="K20" s="154"/>
      <c r="L20" s="154"/>
      <c r="M20" s="154"/>
      <c r="N20" s="154"/>
      <c r="O20" s="157"/>
      <c r="S20"/>
    </row>
    <row r="21" spans="1:19" ht="24" customHeight="1">
      <c r="A21" s="157"/>
      <c r="B21" s="761" t="s">
        <v>191</v>
      </c>
      <c r="C21" s="762"/>
      <c r="D21" s="160" t="s">
        <v>204</v>
      </c>
      <c r="E21" s="181">
        <v>15</v>
      </c>
      <c r="F21" s="161">
        <f>'本則付表2(2)'!L15</f>
        <v>0</v>
      </c>
      <c r="G21" s="157"/>
      <c r="H21" s="597" t="s">
        <v>549</v>
      </c>
      <c r="I21" s="723" t="s">
        <v>548</v>
      </c>
      <c r="J21" s="724"/>
      <c r="K21" s="723" t="s">
        <v>550</v>
      </c>
      <c r="L21" s="724"/>
      <c r="M21" s="723" t="s">
        <v>551</v>
      </c>
      <c r="N21" s="724"/>
      <c r="O21" s="157"/>
      <c r="S21"/>
    </row>
    <row r="22" spans="1:19" ht="24" customHeight="1">
      <c r="A22" s="157"/>
      <c r="B22" s="763"/>
      <c r="C22" s="764"/>
      <c r="D22" s="160" t="s">
        <v>205</v>
      </c>
      <c r="E22" s="181">
        <v>16</v>
      </c>
      <c r="F22" s="161">
        <f>'本則付表2(2)'!L19</f>
        <v>0</v>
      </c>
      <c r="G22" s="157"/>
      <c r="H22" s="727"/>
      <c r="I22" s="721">
        <v>0.03</v>
      </c>
      <c r="J22" s="722"/>
      <c r="K22" s="724"/>
      <c r="L22" s="724"/>
      <c r="M22" s="724"/>
      <c r="N22" s="724"/>
      <c r="O22" s="157"/>
      <c r="S22"/>
    </row>
    <row r="23" spans="1:19" ht="24" customHeight="1">
      <c r="A23" s="157"/>
      <c r="B23" s="601" t="s">
        <v>206</v>
      </c>
      <c r="C23" s="765"/>
      <c r="D23" s="765"/>
      <c r="E23" s="765"/>
      <c r="F23" s="602"/>
      <c r="G23" s="157"/>
      <c r="H23" s="727"/>
      <c r="I23" s="721">
        <v>0.04</v>
      </c>
      <c r="J23" s="722"/>
      <c r="K23" s="731">
        <f>INT('本則付表1'!G9/1000)</f>
        <v>0</v>
      </c>
      <c r="L23" s="731"/>
      <c r="M23" s="730">
        <f>'本則付表1'!G11</f>
        <v>0</v>
      </c>
      <c r="N23" s="730"/>
      <c r="O23" s="157"/>
      <c r="S23"/>
    </row>
    <row r="24" spans="1:19" ht="24" customHeight="1">
      <c r="A24" s="157"/>
      <c r="B24" s="766" t="s">
        <v>207</v>
      </c>
      <c r="C24" s="767"/>
      <c r="D24" s="160" t="s">
        <v>188</v>
      </c>
      <c r="E24" s="181">
        <v>17</v>
      </c>
      <c r="F24" s="161">
        <f>IF('本則付表1'!K33&lt;0,-'本則付表1'!K33,0)</f>
        <v>0</v>
      </c>
      <c r="G24" s="157"/>
      <c r="H24" s="727"/>
      <c r="I24" s="721">
        <v>0.063</v>
      </c>
      <c r="J24" s="722"/>
      <c r="K24" s="731">
        <f>INT('本則付表1'!I9/1000)</f>
        <v>0</v>
      </c>
      <c r="L24" s="731"/>
      <c r="M24" s="730">
        <f>'本則付表1'!I11</f>
        <v>0</v>
      </c>
      <c r="N24" s="730"/>
      <c r="O24" s="157"/>
      <c r="S24"/>
    </row>
    <row r="25" spans="1:19" ht="24" customHeight="1">
      <c r="A25" s="157"/>
      <c r="B25" s="768"/>
      <c r="C25" s="769"/>
      <c r="D25" s="160" t="s">
        <v>189</v>
      </c>
      <c r="E25" s="181">
        <v>18</v>
      </c>
      <c r="F25" s="193">
        <f>IF('本則付表1'!K33&gt;0,INT('本則付表1'!K33/100)*100,0)</f>
        <v>0</v>
      </c>
      <c r="G25" s="157"/>
      <c r="H25" s="727"/>
      <c r="I25" s="723"/>
      <c r="J25" s="724"/>
      <c r="K25" s="724"/>
      <c r="L25" s="724"/>
      <c r="M25" s="724"/>
      <c r="N25" s="724"/>
      <c r="O25" s="157"/>
      <c r="S25"/>
    </row>
    <row r="26" spans="1:19" ht="27.75" customHeight="1">
      <c r="A26" s="157"/>
      <c r="B26" s="748" t="s">
        <v>208</v>
      </c>
      <c r="C26" s="580" t="s">
        <v>209</v>
      </c>
      <c r="D26" s="580"/>
      <c r="E26" s="181">
        <v>19</v>
      </c>
      <c r="F26" s="161">
        <f>IF('本則付表1'!K39&lt;0,-INT('本則付表1'!K39/100)*100,0)</f>
        <v>0</v>
      </c>
      <c r="G26" s="157"/>
      <c r="H26" s="597" t="s">
        <v>552</v>
      </c>
      <c r="I26" s="723" t="s">
        <v>548</v>
      </c>
      <c r="J26" s="724"/>
      <c r="K26" s="728" t="s">
        <v>553</v>
      </c>
      <c r="L26" s="729"/>
      <c r="M26" s="729"/>
      <c r="N26" s="729"/>
      <c r="O26" s="157"/>
      <c r="S26"/>
    </row>
    <row r="27" spans="1:19" ht="27.75" customHeight="1">
      <c r="A27" s="157"/>
      <c r="B27" s="749"/>
      <c r="C27" s="580" t="s">
        <v>210</v>
      </c>
      <c r="D27" s="580"/>
      <c r="E27" s="181">
        <v>20</v>
      </c>
      <c r="F27" s="193">
        <f>IF('本則付表1'!K39&gt;0,INT('本則付表1'!K39/100)*100,0)</f>
        <v>0</v>
      </c>
      <c r="G27" s="157"/>
      <c r="H27" s="597"/>
      <c r="I27" s="721">
        <v>0.04</v>
      </c>
      <c r="J27" s="722"/>
      <c r="K27" s="730">
        <f>'本則付表1'!G31</f>
        <v>0</v>
      </c>
      <c r="L27" s="730"/>
      <c r="M27" s="730"/>
      <c r="N27" s="730"/>
      <c r="O27" s="157"/>
      <c r="S27"/>
    </row>
    <row r="28" spans="1:19" ht="27.75" customHeight="1">
      <c r="A28" s="157"/>
      <c r="B28" s="580" t="s">
        <v>211</v>
      </c>
      <c r="C28" s="580"/>
      <c r="D28" s="733"/>
      <c r="E28" s="195">
        <v>21</v>
      </c>
      <c r="F28" s="161">
        <f>INT(F16*25%/100)*100</f>
        <v>0</v>
      </c>
      <c r="G28" s="154"/>
      <c r="H28" s="597"/>
      <c r="I28" s="721">
        <v>0.063</v>
      </c>
      <c r="J28" s="722"/>
      <c r="K28" s="730">
        <f>'本則付表1'!I31</f>
        <v>0</v>
      </c>
      <c r="L28" s="730"/>
      <c r="M28" s="730"/>
      <c r="N28" s="730"/>
      <c r="O28" s="157"/>
      <c r="S28"/>
    </row>
    <row r="29" spans="1:19" ht="27.75" customHeight="1">
      <c r="A29" s="157"/>
      <c r="B29" s="580" t="s">
        <v>212</v>
      </c>
      <c r="C29" s="580"/>
      <c r="D29" s="733"/>
      <c r="E29" s="181">
        <v>22</v>
      </c>
      <c r="F29" s="197">
        <f>IF(F27-F28&gt;0,F27-F28,0)</f>
        <v>0</v>
      </c>
      <c r="G29" s="157"/>
      <c r="H29" s="597"/>
      <c r="I29" s="723"/>
      <c r="J29" s="724"/>
      <c r="K29" s="724"/>
      <c r="L29" s="724"/>
      <c r="M29" s="724"/>
      <c r="N29" s="724"/>
      <c r="O29" s="157"/>
      <c r="S29"/>
    </row>
    <row r="30" spans="1:19" ht="27.75" customHeight="1" thickBot="1">
      <c r="A30" s="157"/>
      <c r="B30" s="580" t="s">
        <v>213</v>
      </c>
      <c r="C30" s="580"/>
      <c r="D30" s="733"/>
      <c r="E30" s="181">
        <v>23</v>
      </c>
      <c r="F30" s="199">
        <f>IF(F28-F27&gt;0,INT((F28-F27)/100)*100,0)</f>
        <v>0</v>
      </c>
      <c r="G30" s="157"/>
      <c r="H30" s="597"/>
      <c r="I30" s="723"/>
      <c r="J30" s="724"/>
      <c r="K30" s="724"/>
      <c r="L30" s="724"/>
      <c r="M30" s="724"/>
      <c r="N30" s="724"/>
      <c r="O30" s="157"/>
      <c r="S30"/>
    </row>
    <row r="31" spans="1:19" ht="17.25" customHeight="1" thickBot="1">
      <c r="A31" s="157"/>
      <c r="B31" s="737" t="s">
        <v>200</v>
      </c>
      <c r="C31" s="738"/>
      <c r="D31" s="160" t="s">
        <v>214</v>
      </c>
      <c r="E31" s="195">
        <v>24</v>
      </c>
      <c r="F31" s="196"/>
      <c r="G31" s="154"/>
      <c r="H31" s="157"/>
      <c r="I31" s="725"/>
      <c r="J31" s="726"/>
      <c r="K31" s="726"/>
      <c r="L31" s="726"/>
      <c r="M31" s="726"/>
      <c r="N31" s="726"/>
      <c r="O31" s="157"/>
      <c r="S31"/>
    </row>
    <row r="32" spans="1:19" ht="17.25" customHeight="1">
      <c r="A32" s="157"/>
      <c r="B32" s="739"/>
      <c r="C32" s="740"/>
      <c r="D32" s="160" t="s">
        <v>215</v>
      </c>
      <c r="E32" s="181">
        <v>25</v>
      </c>
      <c r="F32" s="197">
        <f>IF(F31&lt;&gt;0,INT((F27-F26-F31)/100)*100,0)</f>
        <v>0</v>
      </c>
      <c r="G32" s="157"/>
      <c r="H32" s="157"/>
      <c r="I32" s="725"/>
      <c r="J32" s="726"/>
      <c r="K32" s="726"/>
      <c r="L32" s="726"/>
      <c r="M32" s="726"/>
      <c r="N32" s="726"/>
      <c r="O32" s="157"/>
      <c r="S32"/>
    </row>
    <row r="33" spans="1:19" ht="9" customHeight="1">
      <c r="A33" s="157"/>
      <c r="B33" s="190"/>
      <c r="C33" s="190"/>
      <c r="D33" s="201"/>
      <c r="E33" s="157"/>
      <c r="F33" s="173"/>
      <c r="G33" s="157"/>
      <c r="H33" s="157"/>
      <c r="I33" s="157"/>
      <c r="J33" s="157"/>
      <c r="K33" s="157"/>
      <c r="L33" s="157"/>
      <c r="M33" s="157"/>
      <c r="N33" s="157"/>
      <c r="O33" s="157"/>
      <c r="S33"/>
    </row>
    <row r="34" spans="1:19" ht="15">
      <c r="A34" s="157"/>
      <c r="B34" s="586" t="s">
        <v>216</v>
      </c>
      <c r="C34" s="746"/>
      <c r="D34" s="747"/>
      <c r="E34" s="181">
        <v>26</v>
      </c>
      <c r="F34" s="202">
        <f>(F17+F29)-(F14+F18+F26+F30)</f>
        <v>0</v>
      </c>
      <c r="G34" s="157"/>
      <c r="H34" s="157"/>
      <c r="I34" s="157"/>
      <c r="J34" s="157"/>
      <c r="K34" s="157"/>
      <c r="L34" s="157"/>
      <c r="M34" s="157"/>
      <c r="N34" s="157"/>
      <c r="O34" s="157"/>
      <c r="S34"/>
    </row>
    <row r="35" spans="1:19" ht="15">
      <c r="A35" s="157"/>
      <c r="B35" s="190"/>
      <c r="C35" s="190"/>
      <c r="D35" s="201"/>
      <c r="E35" s="157"/>
      <c r="F35" s="173"/>
      <c r="G35" s="157"/>
      <c r="H35" s="157"/>
      <c r="I35" s="157"/>
      <c r="J35" s="157"/>
      <c r="K35" s="157"/>
      <c r="L35" s="157"/>
      <c r="M35" s="157"/>
      <c r="N35" s="157"/>
      <c r="O35" s="157"/>
      <c r="S35"/>
    </row>
    <row r="36" spans="1:19" ht="15">
      <c r="A36" s="157"/>
      <c r="B36" s="190"/>
      <c r="C36" s="190"/>
      <c r="D36" s="201"/>
      <c r="E36" s="157"/>
      <c r="F36" s="173"/>
      <c r="G36" s="157"/>
      <c r="H36" s="157"/>
      <c r="I36" s="157"/>
      <c r="J36" s="157"/>
      <c r="K36" s="157"/>
      <c r="L36" s="157"/>
      <c r="M36" s="157"/>
      <c r="N36" s="157"/>
      <c r="O36" s="157"/>
      <c r="S36"/>
    </row>
    <row r="37" ht="15">
      <c r="S37"/>
    </row>
    <row r="38" ht="15">
      <c r="S38"/>
    </row>
    <row r="39" ht="15">
      <c r="S39"/>
    </row>
    <row r="40" ht="15">
      <c r="S40"/>
    </row>
    <row r="41" ht="15">
      <c r="S41"/>
    </row>
    <row r="42" ht="15">
      <c r="S42"/>
    </row>
    <row r="43" ht="15">
      <c r="S43"/>
    </row>
    <row r="44" ht="15">
      <c r="S44"/>
    </row>
    <row r="45" ht="15">
      <c r="S45"/>
    </row>
    <row r="46" ht="15">
      <c r="S46"/>
    </row>
    <row r="47" ht="15">
      <c r="S47"/>
    </row>
    <row r="48" ht="15">
      <c r="S48"/>
    </row>
    <row r="49" ht="15">
      <c r="S49"/>
    </row>
    <row r="50" ht="15">
      <c r="S50"/>
    </row>
    <row r="51" ht="15">
      <c r="S51"/>
    </row>
    <row r="52" ht="15">
      <c r="S52"/>
    </row>
    <row r="53" ht="15">
      <c r="S53"/>
    </row>
    <row r="54" ht="15">
      <c r="S54"/>
    </row>
    <row r="55" ht="15">
      <c r="S55"/>
    </row>
    <row r="56" ht="15">
      <c r="S56"/>
    </row>
    <row r="57" ht="15">
      <c r="S57"/>
    </row>
    <row r="58" ht="15">
      <c r="S58"/>
    </row>
  </sheetData>
  <sheetProtection/>
  <mergeCells count="76">
    <mergeCell ref="C26:D26"/>
    <mergeCell ref="B18:D18"/>
    <mergeCell ref="B17:D17"/>
    <mergeCell ref="B21:C22"/>
    <mergeCell ref="B23:F23"/>
    <mergeCell ref="B24:C25"/>
    <mergeCell ref="D1:E1"/>
    <mergeCell ref="D2:E2"/>
    <mergeCell ref="D3:E3"/>
    <mergeCell ref="B6:F6"/>
    <mergeCell ref="B5:J5"/>
    <mergeCell ref="I15:I17"/>
    <mergeCell ref="B15:D15"/>
    <mergeCell ref="C11:D11"/>
    <mergeCell ref="J15:J16"/>
    <mergeCell ref="B16:D16"/>
    <mergeCell ref="L17:N17"/>
    <mergeCell ref="H13:L13"/>
    <mergeCell ref="B34:D34"/>
    <mergeCell ref="B28:D28"/>
    <mergeCell ref="B29:D29"/>
    <mergeCell ref="B30:D30"/>
    <mergeCell ref="B31:C32"/>
    <mergeCell ref="B26:B27"/>
    <mergeCell ref="C27:D27"/>
    <mergeCell ref="H19:K19"/>
    <mergeCell ref="L19:N19"/>
    <mergeCell ref="B19:C20"/>
    <mergeCell ref="H15:H17"/>
    <mergeCell ref="L16:N16"/>
    <mergeCell ref="L15:N15"/>
    <mergeCell ref="B7:D7"/>
    <mergeCell ref="B8:D8"/>
    <mergeCell ref="B9:D9"/>
    <mergeCell ref="H9:L9"/>
    <mergeCell ref="B10:B13"/>
    <mergeCell ref="C10:D10"/>
    <mergeCell ref="C13:D13"/>
    <mergeCell ref="H11:L11"/>
    <mergeCell ref="B14:D14"/>
    <mergeCell ref="H10:L10"/>
    <mergeCell ref="H12:L12"/>
    <mergeCell ref="C12:D12"/>
    <mergeCell ref="I21:J21"/>
    <mergeCell ref="K21:L21"/>
    <mergeCell ref="M21:N21"/>
    <mergeCell ref="I22:J22"/>
    <mergeCell ref="K22:L22"/>
    <mergeCell ref="M22:N22"/>
    <mergeCell ref="K24:L24"/>
    <mergeCell ref="M24:N24"/>
    <mergeCell ref="I31:J31"/>
    <mergeCell ref="K31:L31"/>
    <mergeCell ref="M31:N31"/>
    <mergeCell ref="I29:J29"/>
    <mergeCell ref="I30:J30"/>
    <mergeCell ref="I32:J32"/>
    <mergeCell ref="K32:L32"/>
    <mergeCell ref="M32:N32"/>
    <mergeCell ref="H21:H25"/>
    <mergeCell ref="H26:H30"/>
    <mergeCell ref="K26:N26"/>
    <mergeCell ref="K27:N27"/>
    <mergeCell ref="K28:N28"/>
    <mergeCell ref="K29:N29"/>
    <mergeCell ref="K30:N30"/>
    <mergeCell ref="I23:J23"/>
    <mergeCell ref="I27:J27"/>
    <mergeCell ref="I28:J28"/>
    <mergeCell ref="I25:J25"/>
    <mergeCell ref="K25:L25"/>
    <mergeCell ref="M25:N25"/>
    <mergeCell ref="I26:J26"/>
    <mergeCell ref="K23:L23"/>
    <mergeCell ref="M23:N23"/>
    <mergeCell ref="I24:J24"/>
  </mergeCells>
  <conditionalFormatting sqref="F16:F18 F28:F30">
    <cfRule type="expression" priority="1" dxfId="2" stopIfTrue="1">
      <formula>($F$19&lt;&gt;0)</formula>
    </cfRule>
  </conditionalFormatting>
  <printOptions/>
  <pageMargins left="0.51" right="0.43" top="0.94" bottom="0.43" header="0.512" footer="0.512"/>
  <pageSetup orientation="portrait" paperSize="9" scale="90" r:id="rId2"/>
  <drawing r:id="rId1"/>
</worksheet>
</file>

<file path=xl/worksheets/sheet9.xml><?xml version="1.0" encoding="utf-8"?>
<worksheet xmlns="http://schemas.openxmlformats.org/spreadsheetml/2006/main" xmlns:r="http://schemas.openxmlformats.org/officeDocument/2006/relationships">
  <sheetPr codeName="Sheet36">
    <tabColor indexed="50"/>
  </sheetPr>
  <dimension ref="A1:Q52"/>
  <sheetViews>
    <sheetView zoomScalePageLayoutView="0" workbookViewId="0" topLeftCell="A1">
      <selection activeCell="A1" sqref="A1"/>
    </sheetView>
  </sheetViews>
  <sheetFormatPr defaultColWidth="10.00390625" defaultRowHeight="13.5"/>
  <cols>
    <col min="1" max="1" width="2.50390625" style="4" customWidth="1"/>
    <col min="2" max="2" width="4.875" style="4" customWidth="1"/>
    <col min="3" max="3" width="4.75390625" style="4" customWidth="1"/>
    <col min="4" max="4" width="19.375" style="4" customWidth="1"/>
    <col min="5" max="5" width="5.00390625" style="4" customWidth="1"/>
    <col min="6" max="6" width="15.50390625" style="4" customWidth="1"/>
    <col min="7" max="7" width="1.37890625" style="4" customWidth="1"/>
    <col min="8" max="8" width="6.25390625" style="4" customWidth="1"/>
    <col min="9" max="9" width="8.25390625" style="4" customWidth="1"/>
    <col min="10" max="10" width="15.50390625" style="4" customWidth="1"/>
    <col min="11" max="13" width="4.25390625" style="4" customWidth="1"/>
    <col min="14" max="16384" width="10.00390625" style="4" customWidth="1"/>
  </cols>
  <sheetData>
    <row r="1" spans="1:17" ht="29.25" customHeight="1">
      <c r="A1" s="157"/>
      <c r="B1" s="454"/>
      <c r="C1" s="454"/>
      <c r="D1" s="157"/>
      <c r="E1" s="157"/>
      <c r="F1" s="3"/>
      <c r="G1" s="157"/>
      <c r="H1" s="157"/>
      <c r="I1" s="157"/>
      <c r="J1" s="157"/>
      <c r="K1" s="157"/>
      <c r="L1" s="157"/>
      <c r="M1" s="157"/>
      <c r="N1" s="157"/>
      <c r="Q1" s="348"/>
    </row>
    <row r="2" spans="1:17" ht="15" customHeight="1" hidden="1">
      <c r="A2" s="157"/>
      <c r="B2" s="157"/>
      <c r="C2" s="157"/>
      <c r="D2" s="157"/>
      <c r="E2" s="157"/>
      <c r="F2" s="3"/>
      <c r="G2" s="157"/>
      <c r="H2" s="157"/>
      <c r="I2" s="157"/>
      <c r="J2" s="157"/>
      <c r="K2" s="157"/>
      <c r="L2" s="157"/>
      <c r="M2" s="157"/>
      <c r="N2" s="157"/>
      <c r="Q2"/>
    </row>
    <row r="3" spans="1:17" ht="15" customHeight="1" hidden="1">
      <c r="A3" s="157"/>
      <c r="B3" s="157"/>
      <c r="C3" s="157"/>
      <c r="D3" s="157"/>
      <c r="E3" s="157"/>
      <c r="F3" s="3"/>
      <c r="G3" s="157"/>
      <c r="H3" s="157"/>
      <c r="I3" s="157"/>
      <c r="J3" s="157"/>
      <c r="K3" s="157"/>
      <c r="L3" s="157"/>
      <c r="M3" s="157"/>
      <c r="N3" s="157"/>
      <c r="Q3"/>
    </row>
    <row r="4" spans="1:17" ht="15" customHeight="1" hidden="1">
      <c r="A4" s="157"/>
      <c r="B4" s="157"/>
      <c r="C4" s="157"/>
      <c r="D4" s="157"/>
      <c r="E4" s="157"/>
      <c r="F4" s="3"/>
      <c r="G4" s="157"/>
      <c r="H4" s="157"/>
      <c r="I4" s="157"/>
      <c r="J4" s="157"/>
      <c r="K4" s="157"/>
      <c r="L4" s="157"/>
      <c r="M4" s="157"/>
      <c r="N4" s="157"/>
      <c r="Q4"/>
    </row>
    <row r="5" spans="1:17" ht="21">
      <c r="A5" s="157"/>
      <c r="B5" s="756" t="s">
        <v>217</v>
      </c>
      <c r="C5" s="756"/>
      <c r="D5" s="756"/>
      <c r="E5" s="756"/>
      <c r="F5" s="756"/>
      <c r="G5" s="756"/>
      <c r="H5" s="756"/>
      <c r="I5" s="756"/>
      <c r="J5" s="157"/>
      <c r="K5" s="157"/>
      <c r="L5" s="157"/>
      <c r="M5" s="157"/>
      <c r="N5" s="157"/>
      <c r="Q5"/>
    </row>
    <row r="6" spans="1:17" ht="16.5" customHeight="1">
      <c r="A6" s="157"/>
      <c r="B6" s="752" t="s">
        <v>169</v>
      </c>
      <c r="C6" s="753"/>
      <c r="D6" s="754"/>
      <c r="E6" s="754"/>
      <c r="F6" s="755"/>
      <c r="G6" s="157"/>
      <c r="H6" s="157"/>
      <c r="I6" s="157"/>
      <c r="J6" s="157"/>
      <c r="K6" s="157"/>
      <c r="L6" s="157"/>
      <c r="M6" s="157"/>
      <c r="N6" s="157"/>
      <c r="Q6"/>
    </row>
    <row r="7" spans="1:17" ht="20.25" customHeight="1">
      <c r="A7" s="157"/>
      <c r="B7" s="580" t="s">
        <v>170</v>
      </c>
      <c r="C7" s="580"/>
      <c r="D7" s="733"/>
      <c r="E7" s="181">
        <v>1</v>
      </c>
      <c r="F7" s="161">
        <f>'簡易付表4'!K10</f>
        <v>0</v>
      </c>
      <c r="G7" s="157"/>
      <c r="H7" s="157"/>
      <c r="I7" s="157"/>
      <c r="J7" s="157"/>
      <c r="K7" s="157"/>
      <c r="L7" s="157"/>
      <c r="M7" s="157"/>
      <c r="N7" s="157"/>
      <c r="Q7"/>
    </row>
    <row r="8" spans="1:17" ht="20.25" customHeight="1">
      <c r="A8" s="157"/>
      <c r="B8" s="580" t="s">
        <v>167</v>
      </c>
      <c r="C8" s="580"/>
      <c r="D8" s="733"/>
      <c r="E8" s="181">
        <v>2</v>
      </c>
      <c r="F8" s="161">
        <f>'簡易付表4'!K12</f>
        <v>0</v>
      </c>
      <c r="G8" s="157"/>
      <c r="H8" s="157"/>
      <c r="I8" s="157"/>
      <c r="J8" s="157"/>
      <c r="K8" s="157"/>
      <c r="L8" s="157"/>
      <c r="M8" s="157"/>
      <c r="N8" s="157"/>
      <c r="Q8"/>
    </row>
    <row r="9" spans="1:17" ht="20.25" customHeight="1">
      <c r="A9" s="157"/>
      <c r="B9" s="580" t="s">
        <v>218</v>
      </c>
      <c r="C9" s="580"/>
      <c r="D9" s="733"/>
      <c r="E9" s="181">
        <v>3</v>
      </c>
      <c r="F9" s="161">
        <f>'簡易付表4'!K14</f>
        <v>0</v>
      </c>
      <c r="G9" s="157"/>
      <c r="H9" s="581" t="s">
        <v>172</v>
      </c>
      <c r="I9" s="741"/>
      <c r="J9" s="741"/>
      <c r="K9" s="742"/>
      <c r="L9" s="184" t="s">
        <v>219</v>
      </c>
      <c r="M9" s="192" t="s">
        <v>174</v>
      </c>
      <c r="N9" s="157"/>
      <c r="Q9"/>
    </row>
    <row r="10" spans="1:17" ht="20.25" customHeight="1">
      <c r="A10" s="157"/>
      <c r="B10" s="788" t="s">
        <v>175</v>
      </c>
      <c r="C10" s="586" t="s">
        <v>176</v>
      </c>
      <c r="D10" s="587"/>
      <c r="E10" s="181">
        <v>4</v>
      </c>
      <c r="F10" s="161">
        <f>'簡易付表4'!K16</f>
        <v>0</v>
      </c>
      <c r="G10" s="157"/>
      <c r="H10" s="581" t="s">
        <v>177</v>
      </c>
      <c r="I10" s="741"/>
      <c r="J10" s="741"/>
      <c r="K10" s="742"/>
      <c r="L10" s="184" t="s">
        <v>178</v>
      </c>
      <c r="M10" s="192" t="s">
        <v>174</v>
      </c>
      <c r="N10" s="157"/>
      <c r="Q10"/>
    </row>
    <row r="11" spans="1:17" ht="20.25" customHeight="1">
      <c r="A11" s="157"/>
      <c r="B11" s="789"/>
      <c r="C11" s="586" t="s">
        <v>179</v>
      </c>
      <c r="D11" s="587"/>
      <c r="E11" s="181">
        <v>5</v>
      </c>
      <c r="F11" s="161">
        <f>'簡易付表4'!K18</f>
        <v>0</v>
      </c>
      <c r="G11" s="154"/>
      <c r="H11" s="581" t="s">
        <v>180</v>
      </c>
      <c r="I11" s="741"/>
      <c r="J11" s="741"/>
      <c r="K11" s="742"/>
      <c r="L11" s="184" t="s">
        <v>181</v>
      </c>
      <c r="M11" s="192" t="s">
        <v>174</v>
      </c>
      <c r="N11" s="157"/>
      <c r="Q11"/>
    </row>
    <row r="12" spans="1:17" ht="20.25" customHeight="1">
      <c r="A12" s="157"/>
      <c r="B12" s="789"/>
      <c r="C12" s="586" t="s">
        <v>182</v>
      </c>
      <c r="D12" s="587"/>
      <c r="E12" s="181">
        <v>6</v>
      </c>
      <c r="F12" s="161">
        <f>INT('最初'!C20*4/105)</f>
        <v>0</v>
      </c>
      <c r="G12" s="154"/>
      <c r="H12" s="581" t="s">
        <v>183</v>
      </c>
      <c r="I12" s="741"/>
      <c r="J12" s="741"/>
      <c r="K12" s="742"/>
      <c r="L12" s="184" t="s">
        <v>220</v>
      </c>
      <c r="M12" s="192" t="s">
        <v>174</v>
      </c>
      <c r="N12" s="157"/>
      <c r="Q12"/>
    </row>
    <row r="13" spans="1:17" ht="20.25" customHeight="1">
      <c r="A13" s="157"/>
      <c r="B13" s="789"/>
      <c r="C13" s="586" t="s">
        <v>185</v>
      </c>
      <c r="D13" s="587"/>
      <c r="E13" s="181">
        <v>7</v>
      </c>
      <c r="F13" s="161">
        <f>SUM(F10:F12)</f>
        <v>0</v>
      </c>
      <c r="G13" s="154"/>
      <c r="H13" s="792" t="s">
        <v>186</v>
      </c>
      <c r="I13" s="793"/>
      <c r="J13" s="793"/>
      <c r="K13" s="794"/>
      <c r="L13" s="184" t="s">
        <v>184</v>
      </c>
      <c r="M13" s="192" t="s">
        <v>174</v>
      </c>
      <c r="N13" s="157"/>
      <c r="Q13"/>
    </row>
    <row r="14" spans="1:17" ht="20.25" customHeight="1">
      <c r="A14" s="157"/>
      <c r="B14" s="580" t="s">
        <v>188</v>
      </c>
      <c r="C14" s="580"/>
      <c r="D14" s="733"/>
      <c r="E14" s="181">
        <v>8</v>
      </c>
      <c r="F14" s="161">
        <f>IF('簡易付表4'!K28&lt;0,-'簡易付表4'!K28,0)</f>
        <v>0</v>
      </c>
      <c r="G14" s="154"/>
      <c r="H14" s="157"/>
      <c r="I14" s="157"/>
      <c r="J14" s="157"/>
      <c r="K14" s="157"/>
      <c r="L14" s="157"/>
      <c r="M14" s="157"/>
      <c r="N14" s="157"/>
      <c r="Q14"/>
    </row>
    <row r="15" spans="1:17" ht="20.25" customHeight="1" thickBot="1">
      <c r="A15" s="157"/>
      <c r="B15" s="580" t="s">
        <v>189</v>
      </c>
      <c r="C15" s="580"/>
      <c r="D15" s="733"/>
      <c r="E15" s="181">
        <v>9</v>
      </c>
      <c r="F15" s="193">
        <f>IF('簡易付表4'!K28&gt;0,INT('簡易付表4'!K28/100)*100,0)</f>
        <v>0</v>
      </c>
      <c r="G15" s="154"/>
      <c r="H15" s="154"/>
      <c r="I15" s="154"/>
      <c r="J15" s="154"/>
      <c r="K15" s="154"/>
      <c r="L15" s="154"/>
      <c r="M15" s="154"/>
      <c r="N15" s="157"/>
      <c r="Q15"/>
    </row>
    <row r="16" spans="1:17" ht="20.25" customHeight="1" thickBot="1">
      <c r="A16" s="157"/>
      <c r="B16" s="580" t="s">
        <v>194</v>
      </c>
      <c r="C16" s="580"/>
      <c r="D16" s="733"/>
      <c r="E16" s="195">
        <v>10</v>
      </c>
      <c r="F16" s="196"/>
      <c r="G16" s="154"/>
      <c r="H16" s="783" t="s">
        <v>49</v>
      </c>
      <c r="I16" s="203" t="s">
        <v>221</v>
      </c>
      <c r="J16" s="203" t="s">
        <v>222</v>
      </c>
      <c r="K16" s="786" t="s">
        <v>223</v>
      </c>
      <c r="L16" s="786"/>
      <c r="M16" s="787"/>
      <c r="N16" s="154"/>
      <c r="Q16"/>
    </row>
    <row r="17" spans="1:17" ht="20.25" customHeight="1">
      <c r="A17" s="157"/>
      <c r="B17" s="580" t="s">
        <v>196</v>
      </c>
      <c r="C17" s="580"/>
      <c r="D17" s="733"/>
      <c r="E17" s="195">
        <v>11</v>
      </c>
      <c r="F17" s="197">
        <f>IF(F15-F16&gt;0,INT((F15-F16)/100)*100,0)</f>
        <v>0</v>
      </c>
      <c r="G17" s="154"/>
      <c r="H17" s="784"/>
      <c r="I17" s="204" t="s">
        <v>224</v>
      </c>
      <c r="J17" s="205">
        <f>ROUND('簡易付表5(2)'!N31/1000,0)</f>
        <v>0</v>
      </c>
      <c r="K17" s="776">
        <f>'簡易付表5(2)'!O31</f>
        <v>0</v>
      </c>
      <c r="L17" s="776"/>
      <c r="M17" s="777"/>
      <c r="N17" s="154"/>
      <c r="Q17"/>
    </row>
    <row r="18" spans="1:17" ht="20.25" customHeight="1" thickBot="1">
      <c r="A18" s="157"/>
      <c r="B18" s="586" t="s">
        <v>199</v>
      </c>
      <c r="C18" s="746"/>
      <c r="D18" s="747"/>
      <c r="E18" s="181">
        <v>12</v>
      </c>
      <c r="F18" s="199">
        <f>IF(F16=0,0,IF(F16+F14-F15&gt;0,INT((F16+F14-F15)/100)*100,0))</f>
        <v>0</v>
      </c>
      <c r="G18" s="157"/>
      <c r="H18" s="784"/>
      <c r="I18" s="206" t="s">
        <v>225</v>
      </c>
      <c r="J18" s="205">
        <f>ROUND('簡易付表5(2)'!N33/1000,0)</f>
        <v>0</v>
      </c>
      <c r="K18" s="776">
        <f>'簡易付表5(2)'!O33</f>
        <v>0</v>
      </c>
      <c r="L18" s="776"/>
      <c r="M18" s="777"/>
      <c r="N18" s="154"/>
      <c r="Q18"/>
    </row>
    <row r="19" spans="1:17" ht="20.25" customHeight="1" thickBot="1">
      <c r="A19" s="157"/>
      <c r="B19" s="737" t="s">
        <v>200</v>
      </c>
      <c r="C19" s="738"/>
      <c r="D19" s="160" t="s">
        <v>201</v>
      </c>
      <c r="E19" s="195">
        <v>13</v>
      </c>
      <c r="F19" s="196"/>
      <c r="G19" s="154"/>
      <c r="H19" s="784"/>
      <c r="I19" s="206" t="s">
        <v>226</v>
      </c>
      <c r="J19" s="205">
        <f>ROUND('簡易付表5(2)'!N35/1000,0)</f>
        <v>0</v>
      </c>
      <c r="K19" s="776">
        <f>'簡易付表5(2)'!O35</f>
        <v>0</v>
      </c>
      <c r="L19" s="776"/>
      <c r="M19" s="777"/>
      <c r="N19" s="154"/>
      <c r="Q19"/>
    </row>
    <row r="20" spans="1:17" ht="20.25" customHeight="1">
      <c r="A20" s="157"/>
      <c r="B20" s="739"/>
      <c r="C20" s="740"/>
      <c r="D20" s="160" t="s">
        <v>203</v>
      </c>
      <c r="E20" s="181">
        <v>14</v>
      </c>
      <c r="F20" s="197">
        <f>IF(F19&lt;&gt;0,INT((F15-F14-F19)/100)*100,0)</f>
        <v>0</v>
      </c>
      <c r="G20" s="157"/>
      <c r="H20" s="784"/>
      <c r="I20" s="206" t="s">
        <v>227</v>
      </c>
      <c r="J20" s="205">
        <f>ROUND('簡易付表5(2)'!N37/1000,0)</f>
        <v>0</v>
      </c>
      <c r="K20" s="776">
        <f>'簡易付表5(2)'!O37</f>
        <v>0</v>
      </c>
      <c r="L20" s="776"/>
      <c r="M20" s="777"/>
      <c r="N20" s="154"/>
      <c r="Q20"/>
    </row>
    <row r="21" spans="1:17" ht="20.25" customHeight="1">
      <c r="A21" s="157"/>
      <c r="B21" s="580" t="s">
        <v>228</v>
      </c>
      <c r="C21" s="580"/>
      <c r="D21" s="580"/>
      <c r="E21" s="181">
        <v>15</v>
      </c>
      <c r="F21" s="161">
        <f>'売上仕入計算'!E21</f>
        <v>0</v>
      </c>
      <c r="G21" s="157"/>
      <c r="H21" s="784"/>
      <c r="I21" s="204" t="s">
        <v>229</v>
      </c>
      <c r="J21" s="205">
        <f>ROUND('簡易付表5(2)'!N39/1000,0)</f>
        <v>0</v>
      </c>
      <c r="K21" s="776">
        <f>'簡易付表5(2)'!O39</f>
        <v>0</v>
      </c>
      <c r="L21" s="776"/>
      <c r="M21" s="777"/>
      <c r="N21" s="154"/>
      <c r="Q21"/>
    </row>
    <row r="22" spans="1:17" ht="20.25" customHeight="1" thickBot="1">
      <c r="A22" s="157"/>
      <c r="B22" s="580" t="s">
        <v>202</v>
      </c>
      <c r="C22" s="580"/>
      <c r="D22" s="580"/>
      <c r="E22" s="181">
        <v>16</v>
      </c>
      <c r="F22" s="161">
        <f>'最初'!C3</f>
        <v>0</v>
      </c>
      <c r="G22" s="157"/>
      <c r="H22" s="785"/>
      <c r="I22" s="207" t="s">
        <v>230</v>
      </c>
      <c r="J22" s="410">
        <f>SUM(J17:J21)</f>
        <v>0</v>
      </c>
      <c r="K22" s="781"/>
      <c r="L22" s="781"/>
      <c r="M22" s="782"/>
      <c r="N22" s="154"/>
      <c r="Q22"/>
    </row>
    <row r="23" spans="1:17" ht="18.75" customHeight="1">
      <c r="A23" s="157"/>
      <c r="B23" s="601" t="s">
        <v>206</v>
      </c>
      <c r="C23" s="765"/>
      <c r="D23" s="765"/>
      <c r="E23" s="765"/>
      <c r="F23" s="602"/>
      <c r="G23" s="157"/>
      <c r="H23" s="154"/>
      <c r="I23" s="154"/>
      <c r="N23" s="157"/>
      <c r="Q23"/>
    </row>
    <row r="24" spans="1:16" ht="25.5" customHeight="1">
      <c r="A24" s="157"/>
      <c r="B24" s="766" t="s">
        <v>207</v>
      </c>
      <c r="C24" s="767"/>
      <c r="D24" s="160" t="s">
        <v>188</v>
      </c>
      <c r="E24" s="181">
        <v>17</v>
      </c>
      <c r="F24" s="161">
        <f>IF('簡易付表4'!K34&lt;0,-INT('簡易付表4'!K34/100)*100,0)</f>
        <v>0</v>
      </c>
      <c r="G24" s="157"/>
      <c r="H24" s="597" t="s">
        <v>549</v>
      </c>
      <c r="I24" s="411" t="s">
        <v>233</v>
      </c>
      <c r="J24" s="411" t="s">
        <v>170</v>
      </c>
      <c r="K24" s="778" t="s">
        <v>167</v>
      </c>
      <c r="L24" s="779"/>
      <c r="M24" s="780"/>
      <c r="P24"/>
    </row>
    <row r="25" spans="1:16" ht="25.5" customHeight="1">
      <c r="A25" s="157"/>
      <c r="B25" s="768"/>
      <c r="C25" s="769"/>
      <c r="D25" s="160" t="s">
        <v>189</v>
      </c>
      <c r="E25" s="181">
        <v>18</v>
      </c>
      <c r="F25" s="161">
        <f>IF('簡易付表4'!K34&gt;0,INT('簡易付表4'!K34/100)*100,0)</f>
        <v>0</v>
      </c>
      <c r="G25" s="157"/>
      <c r="H25" s="727"/>
      <c r="I25" s="412">
        <v>0.03</v>
      </c>
      <c r="J25" s="164"/>
      <c r="K25" s="773"/>
      <c r="L25" s="774"/>
      <c r="M25" s="775"/>
      <c r="P25"/>
    </row>
    <row r="26" spans="1:16" ht="25.5" customHeight="1">
      <c r="A26" s="157"/>
      <c r="B26" s="748" t="s">
        <v>208</v>
      </c>
      <c r="C26" s="580" t="s">
        <v>209</v>
      </c>
      <c r="D26" s="580"/>
      <c r="E26" s="181">
        <v>19</v>
      </c>
      <c r="F26" s="161">
        <f>IF('簡易付表4'!K40&lt;0,-INT('簡易付表4'!K40/100)*100,0)</f>
        <v>0</v>
      </c>
      <c r="G26" s="157"/>
      <c r="H26" s="727"/>
      <c r="I26" s="412">
        <v>0.04</v>
      </c>
      <c r="J26" s="413">
        <f>INT('簡易付表4'!G10/1000)</f>
        <v>0</v>
      </c>
      <c r="K26" s="770">
        <f>'簡易付表4'!G12</f>
        <v>0</v>
      </c>
      <c r="L26" s="771"/>
      <c r="M26" s="772"/>
      <c r="P26"/>
    </row>
    <row r="27" spans="1:16" ht="25.5" customHeight="1">
      <c r="A27" s="157"/>
      <c r="B27" s="749"/>
      <c r="C27" s="580" t="s">
        <v>210</v>
      </c>
      <c r="D27" s="580"/>
      <c r="E27" s="181">
        <v>20</v>
      </c>
      <c r="F27" s="193">
        <f>IF('簡易付表4'!K40&gt;0,INT('簡易付表4'!K40/100)*100,0)</f>
        <v>0</v>
      </c>
      <c r="G27" s="157"/>
      <c r="H27" s="727"/>
      <c r="I27" s="412">
        <v>0.063</v>
      </c>
      <c r="J27" s="413">
        <f>INT('簡易付表4'!I10/1000)</f>
        <v>0</v>
      </c>
      <c r="K27" s="770">
        <f>'簡易付表4'!I12</f>
        <v>0</v>
      </c>
      <c r="L27" s="771"/>
      <c r="M27" s="772"/>
      <c r="P27"/>
    </row>
    <row r="28" spans="1:16" ht="25.5" customHeight="1">
      <c r="A28" s="157"/>
      <c r="B28" s="580" t="s">
        <v>211</v>
      </c>
      <c r="C28" s="580"/>
      <c r="D28" s="733"/>
      <c r="E28" s="195">
        <v>21</v>
      </c>
      <c r="F28" s="161">
        <f>INT(F16*25%/100)*100</f>
        <v>0</v>
      </c>
      <c r="G28" s="154"/>
      <c r="H28" s="727"/>
      <c r="I28" s="411"/>
      <c r="J28" s="164"/>
      <c r="K28" s="773"/>
      <c r="L28" s="774"/>
      <c r="M28" s="775"/>
      <c r="P28"/>
    </row>
    <row r="29" spans="1:16" ht="25.5" customHeight="1">
      <c r="A29" s="157"/>
      <c r="B29" s="580" t="s">
        <v>212</v>
      </c>
      <c r="C29" s="580"/>
      <c r="D29" s="733"/>
      <c r="E29" s="181">
        <v>22</v>
      </c>
      <c r="F29" s="197">
        <f>IF(F27-F28&gt;0,INT((F27-F28)/100)*100,0)</f>
        <v>0</v>
      </c>
      <c r="G29" s="157"/>
      <c r="H29" s="597" t="s">
        <v>552</v>
      </c>
      <c r="I29" s="411" t="s">
        <v>233</v>
      </c>
      <c r="J29" s="728" t="s">
        <v>207</v>
      </c>
      <c r="K29" s="729"/>
      <c r="L29" s="729"/>
      <c r="M29" s="729"/>
      <c r="P29"/>
    </row>
    <row r="30" spans="1:16" ht="25.5" customHeight="1" thickBot="1">
      <c r="A30" s="157"/>
      <c r="B30" s="580" t="s">
        <v>213</v>
      </c>
      <c r="C30" s="580"/>
      <c r="D30" s="733"/>
      <c r="E30" s="181">
        <v>23</v>
      </c>
      <c r="F30" s="199">
        <f>IF(F28=0,0,IF(F28+F26-F27&gt;0,INT((F28+F26-F27)/100)*100,0))</f>
        <v>0</v>
      </c>
      <c r="G30" s="157"/>
      <c r="H30" s="597"/>
      <c r="I30" s="412">
        <v>0.04</v>
      </c>
      <c r="J30" s="730">
        <f>'簡易付表4'!G32</f>
        <v>0</v>
      </c>
      <c r="K30" s="730"/>
      <c r="L30" s="730"/>
      <c r="M30" s="730"/>
      <c r="P30"/>
    </row>
    <row r="31" spans="1:16" ht="25.5" customHeight="1" thickBot="1">
      <c r="A31" s="157"/>
      <c r="B31" s="737" t="s">
        <v>200</v>
      </c>
      <c r="C31" s="738"/>
      <c r="D31" s="160" t="s">
        <v>214</v>
      </c>
      <c r="E31" s="195">
        <v>24</v>
      </c>
      <c r="F31" s="196"/>
      <c r="G31" s="154"/>
      <c r="H31" s="597"/>
      <c r="I31" s="412">
        <v>0.063</v>
      </c>
      <c r="J31" s="730">
        <f>'簡易付表4'!I32</f>
        <v>0</v>
      </c>
      <c r="K31" s="730"/>
      <c r="L31" s="730"/>
      <c r="M31" s="730"/>
      <c r="P31"/>
    </row>
    <row r="32" spans="1:16" ht="25.5" customHeight="1">
      <c r="A32" s="157"/>
      <c r="B32" s="739"/>
      <c r="C32" s="740"/>
      <c r="D32" s="160" t="s">
        <v>215</v>
      </c>
      <c r="E32" s="181">
        <v>25</v>
      </c>
      <c r="F32" s="197">
        <f>IF(F31&lt;&gt;0,INT((F27-F26-F31)/100)*100,0)</f>
        <v>0</v>
      </c>
      <c r="G32" s="157"/>
      <c r="H32" s="597"/>
      <c r="I32" s="411"/>
      <c r="J32" s="724"/>
      <c r="K32" s="724"/>
      <c r="L32" s="724"/>
      <c r="M32" s="724"/>
      <c r="P32"/>
    </row>
    <row r="33" spans="1:16" ht="19.5" customHeight="1">
      <c r="A33" s="157"/>
      <c r="B33" s="190"/>
      <c r="C33" s="190"/>
      <c r="D33" s="201"/>
      <c r="E33" s="157"/>
      <c r="F33" s="173"/>
      <c r="G33" s="157"/>
      <c r="H33" s="597"/>
      <c r="I33" s="411"/>
      <c r="J33" s="724"/>
      <c r="K33" s="724"/>
      <c r="L33" s="724"/>
      <c r="M33" s="724"/>
      <c r="P33"/>
    </row>
    <row r="34" spans="1:16" ht="21" customHeight="1">
      <c r="A34" s="157"/>
      <c r="B34" s="790" t="s">
        <v>231</v>
      </c>
      <c r="C34" s="790"/>
      <c r="D34" s="791"/>
      <c r="E34" s="181">
        <v>26</v>
      </c>
      <c r="F34" s="202">
        <f>(F17+F29)-(F14+F18+F26+F30)</f>
        <v>0</v>
      </c>
      <c r="G34" s="157"/>
      <c r="H34" s="157"/>
      <c r="L34" s="157"/>
      <c r="M34" s="157"/>
      <c r="P34"/>
    </row>
    <row r="35" spans="1:17" ht="15">
      <c r="A35" s="157"/>
      <c r="B35" s="157"/>
      <c r="C35" s="157"/>
      <c r="D35" s="157"/>
      <c r="E35" s="157"/>
      <c r="F35" s="3"/>
      <c r="G35" s="157"/>
      <c r="H35" s="157"/>
      <c r="M35" s="157"/>
      <c r="N35" s="157"/>
      <c r="Q35"/>
    </row>
    <row r="36" spans="6:17" ht="15">
      <c r="F36" s="171"/>
      <c r="Q36"/>
    </row>
    <row r="37" ht="15">
      <c r="Q37"/>
    </row>
    <row r="38" ht="15">
      <c r="Q38"/>
    </row>
    <row r="39" ht="15">
      <c r="Q39"/>
    </row>
    <row r="40" ht="15">
      <c r="Q40"/>
    </row>
    <row r="41" ht="15">
      <c r="Q41"/>
    </row>
    <row r="42" ht="15">
      <c r="Q42"/>
    </row>
    <row r="43" ht="15">
      <c r="Q43"/>
    </row>
    <row r="44" ht="15">
      <c r="Q44"/>
    </row>
    <row r="45" ht="15">
      <c r="Q45"/>
    </row>
    <row r="46" ht="15">
      <c r="Q46"/>
    </row>
    <row r="47" ht="15">
      <c r="Q47"/>
    </row>
    <row r="48" ht="15">
      <c r="Q48"/>
    </row>
    <row r="49" ht="15">
      <c r="Q49"/>
    </row>
    <row r="50" ht="15">
      <c r="Q50"/>
    </row>
    <row r="51" ht="15">
      <c r="Q51"/>
    </row>
    <row r="52" ht="15">
      <c r="Q52"/>
    </row>
  </sheetData>
  <sheetProtection/>
  <mergeCells count="54">
    <mergeCell ref="B34:D34"/>
    <mergeCell ref="B28:D28"/>
    <mergeCell ref="B29:D29"/>
    <mergeCell ref="B30:D30"/>
    <mergeCell ref="B31:C32"/>
    <mergeCell ref="B1:C1"/>
    <mergeCell ref="B24:C25"/>
    <mergeCell ref="B5:I5"/>
    <mergeCell ref="H9:K9"/>
    <mergeCell ref="H13:K13"/>
    <mergeCell ref="H12:K12"/>
    <mergeCell ref="B18:D18"/>
    <mergeCell ref="C13:D13"/>
    <mergeCell ref="B16:D16"/>
    <mergeCell ref="B17:D17"/>
    <mergeCell ref="B21:D21"/>
    <mergeCell ref="K20:M20"/>
    <mergeCell ref="K21:M21"/>
    <mergeCell ref="B10:B13"/>
    <mergeCell ref="B14:D14"/>
    <mergeCell ref="B15:D15"/>
    <mergeCell ref="C26:D26"/>
    <mergeCell ref="B19:C20"/>
    <mergeCell ref="C12:D12"/>
    <mergeCell ref="B6:F6"/>
    <mergeCell ref="B7:D7"/>
    <mergeCell ref="B8:D8"/>
    <mergeCell ref="B9:D9"/>
    <mergeCell ref="B26:B27"/>
    <mergeCell ref="C10:D10"/>
    <mergeCell ref="C11:D11"/>
    <mergeCell ref="C27:D27"/>
    <mergeCell ref="B22:D22"/>
    <mergeCell ref="B23:F23"/>
    <mergeCell ref="H11:K11"/>
    <mergeCell ref="H10:K10"/>
    <mergeCell ref="K19:M19"/>
    <mergeCell ref="K24:M24"/>
    <mergeCell ref="K25:M25"/>
    <mergeCell ref="K22:M22"/>
    <mergeCell ref="H16:H22"/>
    <mergeCell ref="K17:M17"/>
    <mergeCell ref="K18:M18"/>
    <mergeCell ref="K16:M16"/>
    <mergeCell ref="K26:M26"/>
    <mergeCell ref="K27:M27"/>
    <mergeCell ref="H29:H33"/>
    <mergeCell ref="J29:M29"/>
    <mergeCell ref="J30:M30"/>
    <mergeCell ref="J31:M31"/>
    <mergeCell ref="J32:M32"/>
    <mergeCell ref="J33:M33"/>
    <mergeCell ref="K28:M28"/>
    <mergeCell ref="H24:H28"/>
  </mergeCells>
  <conditionalFormatting sqref="F16:F18 F28:F30">
    <cfRule type="expression" priority="1" dxfId="2" stopIfTrue="1">
      <formula>($F$19&lt;&gt;0)</formula>
    </cfRule>
  </conditionalFormatting>
  <printOptions/>
  <pageMargins left="0.39" right="0.43" top="0.94" bottom="0.51" header="0.512" footer="0.512"/>
  <pageSetup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m044339</dc:creator>
  <cp:keywords/>
  <dc:description/>
  <cp:lastModifiedBy>林田雅夫</cp:lastModifiedBy>
  <cp:lastPrinted>2014-12-11T16:46:49Z</cp:lastPrinted>
  <dcterms:created xsi:type="dcterms:W3CDTF">2006-11-02T06:27:59Z</dcterms:created>
  <dcterms:modified xsi:type="dcterms:W3CDTF">2015-02-10T06:00:48Z</dcterms:modified>
  <cp:category/>
  <cp:version/>
  <cp:contentType/>
  <cp:contentStatus/>
</cp:coreProperties>
</file>